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Forecast" sheetId="2" state="visible" r:id="rId4"/>
    <sheet name="Money in" sheetId="3" state="visible" r:id="rId5"/>
    <sheet name="Money out" sheetId="4" state="visible" r:id="rId6"/>
    <sheet name="Lumpy cos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Leave this formula and the forecast always starts on this week's Monday. Or type a date.</t>
        </r>
      </text>
    </comment>
    <comment ref="C7" authorId="0">
      <text>
        <r>
          <rPr>
            <sz val="10"/>
            <rFont val="Arial"/>
            <family val="2"/>
          </rPr>
          <t xml:space="preserve">The lowest balance you're comfortable with. Weeks under this are flagged.</t>
        </r>
      </text>
    </comment>
  </commentList>
</comments>
</file>

<file path=xl/sharedStrings.xml><?xml version="1.0" encoding="utf-8"?>
<sst xmlns="http://schemas.openxmlformats.org/spreadsheetml/2006/main" count="149" uniqueCount="127">
  <si>
    <t xml:space="preserve">Free 12-week cash flow forecast</t>
  </si>
  <si>
    <t xml:space="preserve">For businesses that do the work first and get paid 30 to 90 days later.</t>
  </si>
  <si>
    <t xml:space="preserve">It comes filled with an example business: a small remodeling contractor with a crew of three. Open the Forecast tab and you'll see its cash run short in week 7. Then replace the example with your own numbers.</t>
  </si>
  <si>
    <t xml:space="preserve">WHAT IT ANSWERS</t>
  </si>
  <si>
    <t xml:space="preserve">•  Which week does my cash run short, if any?</t>
  </si>
  <si>
    <t xml:space="preserve">•  How much can I actually spend right now without hurting a future week?</t>
  </si>
  <si>
    <t xml:space="preserve">SET IT UP ONCE</t>
  </si>
  <si>
    <t xml:space="preserve">1.  Cells with blue text on a yellow background are yours to change. Everything else calculates.</t>
  </si>
  <si>
    <t xml:space="preserve">2.  Money in: every invoice you're waiting on, plus jobs you'll invoice soon. For clients who always pay late, fill in "Usually pays late by".</t>
  </si>
  <si>
    <t xml:space="preserve">3.  Money out: weekly costs like payroll, monthly bills, and one-off payments like materials or subcontractors.</t>
  </si>
  <si>
    <t xml:space="preserve">4.  Lumpy costs: insurance, quarterly taxes, annual renewals, vehicle repairs, and how much you've already put aside for each.</t>
  </si>
  <si>
    <t xml:space="preserve">5.  Forecast: type what's in the bank today and the least you ever want to have (your safety buffer).</t>
  </si>
  <si>
    <t xml:space="preserve">EVERY MONDAY</t>
  </si>
  <si>
    <t xml:space="preserve">•  Update the bank balance on the Forecast tab.</t>
  </si>
  <si>
    <t xml:space="preserve">•  Mark invoices that got paid as "Paid" and add new ones.</t>
  </si>
  <si>
    <t xml:space="preserve">•  Add any new one-off payments, then read the answers at the top of the Forecast tab.</t>
  </si>
  <si>
    <t xml:space="preserve">•  Week 1 moves forward on its own every Monday.</t>
  </si>
  <si>
    <t xml:space="preserve">HOW IT WORKS</t>
  </si>
  <si>
    <t xml:space="preserve">•  Expected paid date = invoice date + payment terms + how late that client usually pays. Money is planned for when it actually lands.</t>
  </si>
  <si>
    <t xml:space="preserve">•  Lumpy costs are set aside a little every week, so the big bill is already covered when it arrives.</t>
  </si>
  <si>
    <t xml:space="preserve">•  "Actually yours" = your bank balance minus your reserve: the money set aside for lumpy costs.</t>
  </si>
  <si>
    <t xml:space="preserve">•  "Safe to spend" = your lowest "actually yours" point in the next 12 weeks, minus your safety buffer.</t>
  </si>
  <si>
    <t xml:space="preserve">•  Overdue invoices are not counted. Once you hear from the client, give the invoice a new date.</t>
  </si>
  <si>
    <t xml:space="preserve">WHAT THE STATUS MEANS</t>
  </si>
  <si>
    <t xml:space="preserve">•  SHORT: the projected bank balance is below zero.</t>
  </si>
  <si>
    <t xml:space="preserve">•  Uses reserve: you'd have to use money you set aside for taxes or insurance.</t>
  </si>
  <si>
    <t xml:space="preserve">•  Below buffer: above zero, but under your safety buffer.</t>
  </si>
  <si>
    <t xml:space="preserve">•  OK: covered.</t>
  </si>
  <si>
    <t xml:space="preserve">ABOUT</t>
  </si>
  <si>
    <t xml:space="preserve">Made by Runway. We're building an app version that does this for you, with a Monday email that tells you whether you're covered. It's still in development. If you'd use it, you can join the early list here:</t>
  </si>
  <si>
    <t xml:space="preserve">runwaypeek.com</t>
  </si>
  <si>
    <t xml:space="preserve">Built by a solo founder in Korea. Free to use for your own business.</t>
  </si>
  <si>
    <t xml:space="preserve">This template is a planning tool, not financial, tax or legal advice. Check important decisions with your accountant.</t>
  </si>
  <si>
    <t xml:space="preserve">12-Week Cash Flow Forecast</t>
  </si>
  <si>
    <t xml:space="preserve">Filled with an example business so you can see how it works. Blue cells on yellow are yours to change. New here? Read the Start here tab.</t>
  </si>
  <si>
    <t xml:space="preserve">YOUR NUMBERS</t>
  </si>
  <si>
    <t xml:space="preserve">THE ANSWERS</t>
  </si>
  <si>
    <t xml:space="preserve">Cash in the bank today (all business accounts)</t>
  </si>
  <si>
    <t xml:space="preserve">Safe to spend right now</t>
  </si>
  <si>
    <t xml:space="preserve">Week 1 starts on (a Monday)</t>
  </si>
  <si>
    <t xml:space="preserve">First problem week</t>
  </si>
  <si>
    <t xml:space="preserve">Safety buffer (the least you ever want to have)</t>
  </si>
  <si>
    <t xml:space="preserve">Lowest point ahead</t>
  </si>
  <si>
    <t xml:space="preserve">Overdue payments (not counted)</t>
  </si>
  <si>
    <t xml:space="preserve">Week</t>
  </si>
  <si>
    <t xml:space="preserve">Week of</t>
  </si>
  <si>
    <t xml:space="preserve">Money in (expected payments)</t>
  </si>
  <si>
    <t xml:space="preserve">Weekly costs</t>
  </si>
  <si>
    <t xml:space="preserve">Monthly bills</t>
  </si>
  <si>
    <t xml:space="preserve">One-off payments</t>
  </si>
  <si>
    <t xml:space="preserve">Set aside for lumpy costs</t>
  </si>
  <si>
    <t xml:space="preserve">Actually yours (after reserve)</t>
  </si>
  <si>
    <t xml:space="preserve">Lumpy costs paid (from reserve)</t>
  </si>
  <si>
    <t xml:space="preserve">Reserve for lumpy costs</t>
  </si>
  <si>
    <t xml:space="preserve">Projected bank balance</t>
  </si>
  <si>
    <t xml:space="preserve">Status</t>
  </si>
  <si>
    <t xml:space="preserve">helper: week ends</t>
  </si>
  <si>
    <t xml:space="preserve">helper: severity (3 short, 2 reserve, 1 buffer)</t>
  </si>
  <si>
    <t xml:space="preserve">helper: problem week flag</t>
  </si>
  <si>
    <t xml:space="preserve">Chart data (leave as is)</t>
  </si>
  <si>
    <t xml:space="preserve">Above zero</t>
  </si>
  <si>
    <t xml:space="preserve">Below zero</t>
  </si>
  <si>
    <t xml:space="preserve">Made with Runway's free template. An app version is in development: runwaypeek.com</t>
  </si>
  <si>
    <t xml:space="preserve">Money in</t>
  </si>
  <si>
    <t xml:space="preserve">Payments you're expecting. Enter each invoice once. When it's in the bank, set Status to Paid: it's then part of your bank balance and drops out of the forecast.</t>
  </si>
  <si>
    <t xml:space="preserve">Client</t>
  </si>
  <si>
    <t xml:space="preserve">Job / invoice</t>
  </si>
  <si>
    <t xml:space="preserve">Amount ($)</t>
  </si>
  <si>
    <t xml:space="preserve">Invoice date (or when you'll send it)</t>
  </si>
  <si>
    <t xml:space="preserve">Payment terms (days)</t>
  </si>
  <si>
    <t xml:space="preserve">Usually pays late by (days)</t>
  </si>
  <si>
    <t xml:space="preserve">Expected paid date</t>
  </si>
  <si>
    <t xml:space="preserve">Lands in</t>
  </si>
  <si>
    <t xml:space="preserve">Hansen</t>
  </si>
  <si>
    <t xml:space="preserve">Bathroom remodel (final)</t>
  </si>
  <si>
    <t xml:space="preserve">Expected</t>
  </si>
  <si>
    <t xml:space="preserve">Carter</t>
  </si>
  <si>
    <t xml:space="preserve">Kitchen remodel (deposit)</t>
  </si>
  <si>
    <t xml:space="preserve">Patel</t>
  </si>
  <si>
    <t xml:space="preserve">Porch repair</t>
  </si>
  <si>
    <t xml:space="preserve">Oakwood Property Mgmt</t>
  </si>
  <si>
    <t xml:space="preserve">Unit repairs (August)</t>
  </si>
  <si>
    <t xml:space="preserve">Kitchen remodel (progress)</t>
  </si>
  <si>
    <t xml:space="preserve">Unit repairs (September)</t>
  </si>
  <si>
    <t xml:space="preserve">Lopez</t>
  </si>
  <si>
    <t xml:space="preserve">Home addition (draw 1)</t>
  </si>
  <si>
    <t xml:space="preserve">Basement finish (deposit)</t>
  </si>
  <si>
    <t xml:space="preserve">Home addition (draw 2)</t>
  </si>
  <si>
    <t xml:space="preserve">Kitchen remodel (final)</t>
  </si>
  <si>
    <t xml:space="preserve">Brook St. HOA</t>
  </si>
  <si>
    <t xml:space="preserve">Deck repair</t>
  </si>
  <si>
    <t xml:space="preserve">Expected paid date = invoice date + payment terms + usual lateness. The first rows are the example business; overwrite or delete them.</t>
  </si>
  <si>
    <t xml:space="preserve">Money out</t>
  </si>
  <si>
    <t xml:space="preserve">What you pay. Weekly costs hit every week, monthly bills on their day of the month, one-off payments on their due date.</t>
  </si>
  <si>
    <t xml:space="preserve">EVERY WEEK</t>
  </si>
  <si>
    <t xml:space="preserve">What</t>
  </si>
  <si>
    <t xml:space="preserve">Amount per week ($)</t>
  </si>
  <si>
    <t xml:space="preserve">Payroll (crew of 3)</t>
  </si>
  <si>
    <t xml:space="preserve">Fuel &amp; small tools</t>
  </si>
  <si>
    <t xml:space="preserve">Total per week</t>
  </si>
  <si>
    <t xml:space="preserve">EVERY MONTH</t>
  </si>
  <si>
    <t xml:space="preserve">Day of the month it's paid (1-28)</t>
  </si>
  <si>
    <t xml:space="preserve">Shop &amp; yard rent</t>
  </si>
  <si>
    <t xml:space="preserve">Truck loan</t>
  </si>
  <si>
    <t xml:space="preserve">Phones &amp; software</t>
  </si>
  <si>
    <t xml:space="preserve">Equipment lease</t>
  </si>
  <si>
    <t xml:space="preserve">ONE-OFF PAYMENTS (materials, subcontractors, equipment, anything with a due date)</t>
  </si>
  <si>
    <t xml:space="preserve">Due date</t>
  </si>
  <si>
    <t xml:space="preserve">Materials - Carter kitchen</t>
  </si>
  <si>
    <t xml:space="preserve">Materials - Lopez addition</t>
  </si>
  <si>
    <t xml:space="preserve">Dumpster &amp; equipment rental</t>
  </si>
  <si>
    <t xml:space="preserve">Subcontractor - electrical (Lopez)</t>
  </si>
  <si>
    <t xml:space="preserve">Materials - Hansen basement</t>
  </si>
  <si>
    <t xml:space="preserve">The first rows in each section are the example business; overwrite or delete them.</t>
  </si>
  <si>
    <t xml:space="preserve">Lumpy costs</t>
  </si>
  <si>
    <t xml:space="preserve">The big irregular ones: insurance, quarterly taxes, annual renewals, vehicle repairs. The forecast sets money aside every week so the bill is covered when it lands.</t>
  </si>
  <si>
    <t xml:space="preserve">Next due date</t>
  </si>
  <si>
    <t xml:space="preserve">Repeats every (months)</t>
  </si>
  <si>
    <t xml:space="preserve">Already set aside ($)</t>
  </si>
  <si>
    <t xml:space="preserve">Set aside per week now ($)</t>
  </si>
  <si>
    <t xml:space="preserve">helper: weeks until due</t>
  </si>
  <si>
    <t xml:space="preserve">helper: weeks per cycle</t>
  </si>
  <si>
    <t xml:space="preserve">Check</t>
  </si>
  <si>
    <t xml:space="preserve">Quarterly estimated tax</t>
  </si>
  <si>
    <t xml:space="preserve">General liability insurance</t>
  </si>
  <si>
    <t xml:space="preserve">Truck maintenance</t>
  </si>
  <si>
    <t xml:space="preserve">Before the due date, the weekly set-aside is (amount - already set aside) / weeks until due, so the bill is fully covered on time. After it's paid, it continues at amount / weeks per cycle (months x 52 / 12) for the next one. The first rows are the example business; overwrite or delete them.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</si>
</sst>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[RED]&quot;($&quot;#,##0\);\-"/>
    <numFmt numFmtId="166" formatCode="mmm\ d&quot;, &quot;yyyy"/>
    <numFmt numFmtId="167" formatCode="&quot;Week &quot;0"/>
    <numFmt numFmtId="168" formatCode="mmm\ d"/>
    <numFmt numFmtId="169" formatCode="\$#,##0"/>
    <numFmt numFmtId="170" formatCode="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01A2B"/>
      <name val="Arial"/>
      <family val="0"/>
      <charset val="1"/>
    </font>
    <font>
      <sz val="11"/>
      <color rgb="FF4A5568"/>
      <name val="Arial"/>
      <family val="0"/>
      <charset val="1"/>
    </font>
    <font>
      <sz val="6"/>
      <name val="Arial"/>
      <family val="0"/>
      <charset val="1"/>
    </font>
    <font>
      <sz val="11"/>
      <color rgb="FF101A2B"/>
      <name val="Arial"/>
      <family val="0"/>
      <charset val="1"/>
    </font>
    <font>
      <b val="true"/>
      <sz val="10"/>
      <color rgb="FFC03A28"/>
      <name val="Arial"/>
      <family val="0"/>
      <charset val="1"/>
    </font>
    <font>
      <sz val="10"/>
      <color rgb="FF101A2B"/>
      <name val="Arial"/>
      <family val="0"/>
      <charset val="1"/>
    </font>
    <font>
      <u val="single"/>
      <sz val="11"/>
      <color rgb="FF0000FF"/>
      <name val="Arial"/>
      <family val="0"/>
      <charset val="1"/>
    </font>
    <font>
      <i val="true"/>
      <sz val="9"/>
      <color rgb="FF4A5568"/>
      <name val="Arial"/>
      <family val="0"/>
      <charset val="1"/>
    </font>
    <font>
      <b val="true"/>
      <sz val="16"/>
      <color rgb="FF101A2B"/>
      <name val="Arial"/>
      <family val="0"/>
      <charset val="1"/>
    </font>
    <font>
      <sz val="10"/>
      <color rgb="FF4A556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01A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01A2B"/>
      <name val="Arial"/>
      <family val="0"/>
      <charset val="1"/>
    </font>
    <font>
      <sz val="8"/>
      <color rgb="FF4A5568"/>
      <name val="Arial"/>
      <family val="0"/>
      <charset val="1"/>
    </font>
    <font>
      <u val="single"/>
      <sz val="9"/>
      <color rgb="FF0000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C03A2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CEFD2"/>
      </patternFill>
    </fill>
    <fill>
      <patternFill patternType="solid">
        <fgColor rgb="FF101A2B"/>
        <bgColor rgb="FF0000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8DDE4"/>
      </left>
      <right style="thin">
        <color rgb="FFD8DDE4"/>
      </right>
      <top style="thin">
        <color rgb="FFD8DDE4"/>
      </top>
      <bottom style="thin">
        <color rgb="FFD8DDE4"/>
      </bottom>
      <diagonal/>
    </border>
    <border diagonalUp="false" diagonalDown="false">
      <left/>
      <right/>
      <top/>
      <bottom style="thin">
        <color rgb="FFD8DDE4"/>
      </bottom>
      <diagonal/>
    </border>
    <border diagonalUp="false" diagonalDown="false">
      <left/>
      <right/>
      <top style="thin">
        <color rgb="FF101A2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FFFFFF"/>
      </font>
      <fill>
        <patternFill>
          <bgColor rgb="FFC03A28"/>
        </patternFill>
      </fill>
    </dxf>
    <dxf>
      <font>
        <name val="Arial"/>
        <charset val="1"/>
        <family val="0"/>
        <b val="1"/>
        <color rgb="FFC03A28"/>
        <sz val="9"/>
      </font>
      <fill>
        <patternFill>
          <bgColor rgb="FFF6D5D0"/>
        </patternFill>
      </fill>
    </dxf>
    <dxf>
      <font>
        <name val="Arial"/>
        <charset val="1"/>
        <family val="0"/>
        <b val="1"/>
        <color rgb="FF8A5A00"/>
        <sz val="9"/>
      </font>
      <fill>
        <patternFill>
          <bgColor rgb="FFFCEFD2"/>
        </patternFill>
      </fill>
    </dxf>
    <dxf>
      <font>
        <name val="Arial"/>
        <charset val="1"/>
        <family val="0"/>
        <b val="1"/>
        <color rgb="FF2E6F5E"/>
      </font>
    </dxf>
    <dxf>
      <font>
        <name val="Arial"/>
        <charset val="1"/>
        <family val="0"/>
        <b val="1"/>
        <color rgb="FFC03A2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2E6F5E"/>
      <rgbColor rgb="FFD9D9D9"/>
      <rgbColor rgb="FF878787"/>
      <rgbColor rgb="FF9999FF"/>
      <rgbColor rgb="FF993366"/>
      <rgbColor rgb="FFFFF4CC"/>
      <rgbColor rgb="FFCCFFFF"/>
      <rgbColor rgb="FF660066"/>
      <rgbColor rgb="FFFF8080"/>
      <rgbColor rgb="FF0066CC"/>
      <rgbColor rgb="FFD8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FD2"/>
      <rgbColor rgb="FF99CCFF"/>
      <rgbColor rgb="FFFF99CC"/>
      <rgbColor rgb="FFCC99FF"/>
      <rgbColor rgb="FFF6D5D0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101A2B"/>
      <rgbColor rgb="FF333300"/>
      <rgbColor rgb="FFC03A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What's actually yours, week by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"Actually yours"</c:f>
              <c:strCache>
                <c:ptCount val="1"/>
                <c:pt idx="0">
                  <c:v>Actually yours</c:v>
                </c:pt>
              </c:strCache>
            </c:strRef>
          </c:tx>
          <c:spPr>
            <a:solidFill>
              <a:srgbClr val="2e6f5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Forecast!$C$47:$N$47</c:f>
              <c:multiLvlStrCache>
                <c:ptCount val="1"/>
                <c:lvl>
                  <c:pt idx="0">
                    <c:v>Dec 7</c:v>
                  </c:pt>
                </c:lvl>
                <c:lvl>
                  <c:pt idx="0">
                    <c:v>Nov 30</c:v>
                  </c:pt>
                </c:lvl>
                <c:lvl>
                  <c:pt idx="0">
                    <c:v>Nov 23</c:v>
                  </c:pt>
                </c:lvl>
                <c:lvl>
                  <c:pt idx="0">
                    <c:v>Nov 16</c:v>
                  </c:pt>
                </c:lvl>
                <c:lvl>
                  <c:pt idx="0">
                    <c:v>Nov 9</c:v>
                  </c:pt>
                </c:lvl>
                <c:lvl>
                  <c:pt idx="0">
                    <c:v>Nov 2</c:v>
                  </c:pt>
                </c:lvl>
                <c:lvl>
                  <c:pt idx="0">
                    <c:v>Oct 26</c:v>
                  </c:pt>
                </c:lvl>
                <c:lvl>
                  <c:pt idx="0">
                    <c:v>Oct 19</c:v>
                  </c:pt>
                </c:lvl>
                <c:lvl>
                  <c:pt idx="0">
                    <c:v>Oct 12</c:v>
                  </c:pt>
                </c:lvl>
                <c:lvl>
                  <c:pt idx="0">
                    <c:v>Oct 5</c:v>
                  </c:pt>
                </c:lvl>
                <c:lvl>
                  <c:pt idx="0">
                    <c:v>Sep 28</c:v>
                  </c:pt>
                </c:lvl>
                <c:lvl>
                  <c:pt idx="0">
                    <c:v>Sep 21</c:v>
                  </c:pt>
                </c:lvl>
              </c:multiLvlStrCache>
            </c:multiLvlStrRef>
          </c:cat>
          <c:val>
            <c:numRef>
              <c:f>Forecast!$C$48:$N$48</c:f>
              <c:numCache>
                <c:formatCode>\$#,##0;[RED]"($"#,##0\);\-</c:formatCode>
                <c:ptCount val="12"/>
                <c:pt idx="0">
                  <c:v>30233.7593984962</c:v>
                </c:pt>
                <c:pt idx="1">
                  <c:v>31087.5187969925</c:v>
                </c:pt>
                <c:pt idx="2">
                  <c:v>30141.2781954887</c:v>
                </c:pt>
                <c:pt idx="3">
                  <c:v>12245.037593985</c:v>
                </c:pt>
                <c:pt idx="4">
                  <c:v>3898.79699248121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10412.0994794679</c:v>
                </c:pt>
                <c:pt idx="10">
                  <c:v>20430.6940427993</c:v>
                </c:pt>
                <c:pt idx="11">
                  <c:v>25699.2886061307</c:v>
                </c:pt>
              </c:numCache>
            </c:numRef>
          </c:val>
        </c:ser>
        <c:ser>
          <c:idx val="1"/>
          <c:order val="1"/>
          <c:tx>
            <c:strRef>
              <c:f>"Below zero"</c:f>
              <c:strCache>
                <c:ptCount val="1"/>
                <c:pt idx="0">
                  <c:v>Below zero</c:v>
                </c:pt>
              </c:strCache>
            </c:strRef>
          </c:tx>
          <c:spPr>
            <a:solidFill>
              <a:srgbClr val="c03a2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Forecast!$C$47:$N$47</c:f>
              <c:multiLvlStrCache>
                <c:ptCount val="1"/>
                <c:lvl>
                  <c:pt idx="0">
                    <c:v>Dec 7</c:v>
                  </c:pt>
                </c:lvl>
                <c:lvl>
                  <c:pt idx="0">
                    <c:v>Nov 30</c:v>
                  </c:pt>
                </c:lvl>
                <c:lvl>
                  <c:pt idx="0">
                    <c:v>Nov 23</c:v>
                  </c:pt>
                </c:lvl>
                <c:lvl>
                  <c:pt idx="0">
                    <c:v>Nov 16</c:v>
                  </c:pt>
                </c:lvl>
                <c:lvl>
                  <c:pt idx="0">
                    <c:v>Nov 9</c:v>
                  </c:pt>
                </c:lvl>
                <c:lvl>
                  <c:pt idx="0">
                    <c:v>Nov 2</c:v>
                  </c:pt>
                </c:lvl>
                <c:lvl>
                  <c:pt idx="0">
                    <c:v>Oct 26</c:v>
                  </c:pt>
                </c:lvl>
                <c:lvl>
                  <c:pt idx="0">
                    <c:v>Oct 19</c:v>
                  </c:pt>
                </c:lvl>
                <c:lvl>
                  <c:pt idx="0">
                    <c:v>Oct 12</c:v>
                  </c:pt>
                </c:lvl>
                <c:lvl>
                  <c:pt idx="0">
                    <c:v>Oct 5</c:v>
                  </c:pt>
                </c:lvl>
                <c:lvl>
                  <c:pt idx="0">
                    <c:v>Sep 28</c:v>
                  </c:pt>
                </c:lvl>
                <c:lvl>
                  <c:pt idx="0">
                    <c:v>Sep 21</c:v>
                  </c:pt>
                </c:lvl>
              </c:multiLvlStrCache>
            </c:multiLvlStrRef>
          </c:cat>
          <c:val>
            <c:numRef>
              <c:f>Forecast!$C$49:$N$49</c:f>
              <c:numCache>
                <c:formatCode>\$#,##0;[RED]"($"#,##0\);\-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-3547.44360902255</c:v>
                </c:pt>
                <c:pt idx="6">
                  <c:v>-9293.68421052631</c:v>
                </c:pt>
                <c:pt idx="7">
                  <c:v>-4025.0896471949</c:v>
                </c:pt>
                <c:pt idx="8">
                  <c:v>-4186.4950838635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6728450"/>
        <c:axId val="32049762"/>
      </c:barChart>
      <c:catAx>
        <c:axId val="67284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49762"/>
        <c:crosses val="autoZero"/>
        <c:auto val="1"/>
        <c:lblAlgn val="ctr"/>
        <c:lblOffset val="100"/>
        <c:noMultiLvlLbl val="0"/>
      </c:catAx>
      <c:valAx>
        <c:axId val="320497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2845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27</xdr:row>
      <xdr:rowOff>0</xdr:rowOff>
    </xdr:from>
    <xdr:to>
      <xdr:col>10</xdr:col>
      <xdr:colOff>131400</xdr:colOff>
      <xdr:row>43</xdr:row>
      <xdr:rowOff>11880</xdr:rowOff>
    </xdr:to>
    <xdr:graphicFrame>
      <xdr:nvGraphicFramePr>
        <xdr:cNvPr id="0" name="Chart 1"/>
        <xdr:cNvGraphicFramePr/>
      </xdr:nvGraphicFramePr>
      <xdr:xfrm>
        <a:off x="141120" y="4981680"/>
        <a:ext cx="97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unwaypeek.com/?utm_source=template&amp;utm_campaign=start_here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runwaypeek.com/?utm_source=template&amp;utm_campaign=forecast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7.5" hidden="false" customHeight="true" outlineLevel="0" collapsed="false">
      <c r="B3" s="3"/>
    </row>
    <row r="4" customFormat="false" ht="43.5" hidden="false" customHeight="true" outlineLevel="0" collapsed="false">
      <c r="B4" s="4" t="s">
        <v>2</v>
      </c>
    </row>
    <row r="5" customFormat="false" ht="7.5" hidden="false" customHeight="true" outlineLevel="0" collapsed="false">
      <c r="B5" s="3"/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6" t="s">
        <v>4</v>
      </c>
    </row>
    <row r="8" customFormat="false" ht="15" hidden="false" customHeight="false" outlineLevel="0" collapsed="false">
      <c r="B8" s="6" t="s">
        <v>5</v>
      </c>
    </row>
    <row r="9" customFormat="false" ht="7.5" hidden="false" customHeight="true" outlineLevel="0" collapsed="false">
      <c r="B9" s="3"/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6" t="s">
        <v>7</v>
      </c>
    </row>
    <row r="12" customFormat="false" ht="27.75" hidden="false" customHeight="true" outlineLevel="0" collapsed="false">
      <c r="B12" s="6" t="s">
        <v>8</v>
      </c>
    </row>
    <row r="13" customFormat="false" ht="15" hidden="false" customHeight="false" outlineLevel="0" collapsed="false">
      <c r="B13" s="6" t="s">
        <v>9</v>
      </c>
    </row>
    <row r="14" customFormat="false" ht="27.75" hidden="false" customHeight="true" outlineLevel="0" collapsed="false">
      <c r="B14" s="6" t="s">
        <v>10</v>
      </c>
    </row>
    <row r="15" customFormat="false" ht="15" hidden="false" customHeight="false" outlineLevel="0" collapsed="false">
      <c r="B15" s="6" t="s">
        <v>11</v>
      </c>
    </row>
    <row r="16" customFormat="false" ht="7.5" hidden="false" customHeight="true" outlineLevel="0" collapsed="false">
      <c r="B16" s="3"/>
    </row>
    <row r="17" customFormat="false" ht="1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0" customFormat="false" ht="15" hidden="false" customHeight="false" outlineLevel="0" collapsed="false">
      <c r="B20" s="6" t="s">
        <v>15</v>
      </c>
    </row>
    <row r="21" customFormat="false" ht="15" hidden="false" customHeight="false" outlineLevel="0" collapsed="false">
      <c r="B21" s="6" t="s">
        <v>16</v>
      </c>
    </row>
    <row r="22" customFormat="false" ht="7.5" hidden="false" customHeight="true" outlineLevel="0" collapsed="false">
      <c r="B22" s="3"/>
    </row>
    <row r="23" customFormat="false" ht="15" hidden="false" customHeight="false" outlineLevel="0" collapsed="false">
      <c r="B23" s="5" t="s">
        <v>17</v>
      </c>
    </row>
    <row r="24" customFormat="false" ht="27.75" hidden="false" customHeight="true" outlineLevel="0" collapsed="false">
      <c r="B24" s="6" t="s">
        <v>18</v>
      </c>
    </row>
    <row r="25" customFormat="false" ht="15" hidden="false" customHeight="false" outlineLevel="0" collapsed="false">
      <c r="B25" s="6" t="s">
        <v>19</v>
      </c>
    </row>
    <row r="26" customFormat="false" ht="15" hidden="false" customHeight="false" outlineLevel="0" collapsed="false">
      <c r="B26" s="6" t="s">
        <v>20</v>
      </c>
    </row>
    <row r="27" customFormat="false" ht="15" hidden="false" customHeight="false" outlineLevel="0" collapsed="false">
      <c r="B27" s="6" t="s">
        <v>21</v>
      </c>
    </row>
    <row r="28" customFormat="false" ht="15" hidden="false" customHeight="false" outlineLevel="0" collapsed="false">
      <c r="B28" s="6" t="s">
        <v>22</v>
      </c>
    </row>
    <row r="29" customFormat="false" ht="7.5" hidden="false" customHeight="true" outlineLevel="0" collapsed="false">
      <c r="B29" s="3"/>
    </row>
    <row r="30" customFormat="false" ht="15" hidden="false" customHeight="false" outlineLevel="0" collapsed="false">
      <c r="B30" s="5" t="s">
        <v>23</v>
      </c>
    </row>
    <row r="31" customFormat="false" ht="15" hidden="false" customHeight="false" outlineLevel="0" collapsed="false">
      <c r="B31" s="6" t="s">
        <v>24</v>
      </c>
    </row>
    <row r="32" customFormat="false" ht="15" hidden="false" customHeight="false" outlineLevel="0" collapsed="false">
      <c r="B32" s="6" t="s">
        <v>25</v>
      </c>
    </row>
    <row r="33" customFormat="false" ht="15" hidden="false" customHeight="false" outlineLevel="0" collapsed="false">
      <c r="B33" s="6" t="s">
        <v>26</v>
      </c>
    </row>
    <row r="34" customFormat="false" ht="15" hidden="false" customHeight="false" outlineLevel="0" collapsed="false">
      <c r="B34" s="6" t="s">
        <v>27</v>
      </c>
    </row>
    <row r="35" customFormat="false" ht="7.5" hidden="false" customHeight="true" outlineLevel="0" collapsed="false">
      <c r="B35" s="3"/>
    </row>
    <row r="36" customFormat="false" ht="15" hidden="false" customHeight="false" outlineLevel="0" collapsed="false">
      <c r="B36" s="5" t="s">
        <v>28</v>
      </c>
    </row>
    <row r="37" customFormat="false" ht="27.75" hidden="false" customHeight="true" outlineLevel="0" collapsed="false">
      <c r="B37" s="6" t="s">
        <v>29</v>
      </c>
    </row>
    <row r="38" customFormat="false" ht="15" hidden="false" customHeight="false" outlineLevel="0" collapsed="false">
      <c r="B38" s="7" t="s">
        <v>30</v>
      </c>
    </row>
    <row r="39" customFormat="false" ht="15" hidden="false" customHeight="false" outlineLevel="0" collapsed="false">
      <c r="B39" s="6" t="s">
        <v>31</v>
      </c>
    </row>
    <row r="40" customFormat="false" ht="15" hidden="false" customHeight="false" outlineLevel="0" collapsed="false">
      <c r="B40" s="8" t="s">
        <v>32</v>
      </c>
    </row>
  </sheetData>
  <hyperlinks>
    <hyperlink ref="B38" r:id="rId1" display="runwaypee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01A2B"/>
    <pageSetUpPr fitToPage="true"/>
  </sheetPr>
  <dimension ref="B1:N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0" topLeftCell="C1" activePane="topRight" state="frozen"/>
      <selection pane="topLeft" activeCell="A1" activeCellId="0" sqref="A1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14" min="3" style="0" width="11.5"/>
  </cols>
  <sheetData>
    <row r="1" customFormat="false" ht="25.5" hidden="false" customHeight="true" outlineLevel="0" collapsed="false">
      <c r="B1" s="9" t="s">
        <v>33</v>
      </c>
    </row>
    <row r="2" customFormat="false" ht="15" hidden="false" customHeight="false" outlineLevel="0" collapsed="false">
      <c r="B2" s="10" t="s">
        <v>34</v>
      </c>
    </row>
    <row r="4" customFormat="false" ht="15" hidden="false" customHeight="false" outlineLevel="0" collapsed="false">
      <c r="B4" s="11" t="s">
        <v>35</v>
      </c>
      <c r="F4" s="11" t="s">
        <v>36</v>
      </c>
    </row>
    <row r="5" customFormat="false" ht="21.75" hidden="false" customHeight="true" outlineLevel="0" collapsed="false">
      <c r="B5" s="12" t="s">
        <v>37</v>
      </c>
      <c r="C5" s="13" t="n">
        <v>36000</v>
      </c>
      <c r="F5" s="12" t="s">
        <v>38</v>
      </c>
      <c r="K5" s="14" t="n">
        <f aca="false">MIN(C18:N18)-C7</f>
        <v>-14293.6842105263</v>
      </c>
    </row>
    <row r="6" customFormat="false" ht="15" hidden="false" customHeight="false" outlineLevel="0" collapsed="false">
      <c r="B6" s="12" t="s">
        <v>39</v>
      </c>
      <c r="C6" s="15" t="n">
        <f aca="true">TODAY()-WEEKDAY(TODAY(),3)</f>
        <v>46286</v>
      </c>
      <c r="F6" s="12" t="s">
        <v>40</v>
      </c>
      <c r="K6" s="11" t="str">
        <f aca="false">IFERROR("Week "&amp;MATCH(1,C26:N26,0)&amp;" (week of "&amp;TEXT(INDEX(C12:N12,MATCH(1,C26:N26,0)),"mmm d")&amp;"): "&amp;INDEX(C22:N22,MATCH(1,C26:N26,0)),"None in the next 12 weeks")</f>
        <v>Week 6 (week of Oct 26): Uses reserve</v>
      </c>
    </row>
    <row r="7" customFormat="false" ht="15" hidden="false" customHeight="false" outlineLevel="0" collapsed="false">
      <c r="B7" s="12" t="s">
        <v>41</v>
      </c>
      <c r="C7" s="13" t="n">
        <v>5000</v>
      </c>
      <c r="F7" s="12" t="s">
        <v>42</v>
      </c>
      <c r="K7" s="12" t="str">
        <f aca="false">TEXT(MIN(C18:N18),"$#,##0;-$#,##0")&amp;" in week "&amp;MATCH(MIN(C18:N18),C18:N18,0)</f>
        <v>-$9,294 in week 7</v>
      </c>
    </row>
    <row r="8" customFormat="false" ht="15" hidden="false" customHeight="false" outlineLevel="0" collapsed="false">
      <c r="F8" s="12" t="s">
        <v>43</v>
      </c>
      <c r="K8" s="16" t="n">
        <f aca="false">SUMIFS('Money in'!$D$5:$D$34,'Money in'!$H$5:$H$34,"&lt;"&amp;$C$6,'Money in'!$I$5:$I$34,"&lt;&gt;Paid")</f>
        <v>7400</v>
      </c>
    </row>
    <row r="9" customFormat="false" ht="15" hidden="false" customHeight="false" outlineLevel="0" collapsed="false">
      <c r="F9" s="17" t="str">
        <f aca="false">IF(K5&lt;0,"Nothing is safe to spend right now: even with no extra spending, you fall short ahead. See the weeks in red.","Safe to spend = your lowest ""actually yours"" point in the next 12 weeks, minus your safety buffer.")</f>
        <v>Nothing is safe to spend right now: even with no extra spending, you fall short ahead. See the weeks in red.</v>
      </c>
    </row>
    <row r="11" customFormat="false" ht="15" hidden="false" customHeight="false" outlineLevel="0" collapsed="false">
      <c r="B11" s="18" t="s">
        <v>44</v>
      </c>
      <c r="C11" s="19" t="n">
        <v>1</v>
      </c>
      <c r="D11" s="19" t="n">
        <v>2</v>
      </c>
      <c r="E11" s="19" t="n">
        <v>3</v>
      </c>
      <c r="F11" s="19" t="n">
        <v>4</v>
      </c>
      <c r="G11" s="19" t="n">
        <v>5</v>
      </c>
      <c r="H11" s="19" t="n">
        <v>6</v>
      </c>
      <c r="I11" s="19" t="n">
        <v>7</v>
      </c>
      <c r="J11" s="19" t="n">
        <v>8</v>
      </c>
      <c r="K11" s="19" t="n">
        <v>9</v>
      </c>
      <c r="L11" s="19" t="n">
        <v>10</v>
      </c>
      <c r="M11" s="19" t="n">
        <v>11</v>
      </c>
      <c r="N11" s="19" t="n">
        <v>12</v>
      </c>
    </row>
    <row r="12" customFormat="false" ht="15" hidden="false" customHeight="false" outlineLevel="0" collapsed="false">
      <c r="B12" s="18" t="s">
        <v>45</v>
      </c>
      <c r="C12" s="20" t="n">
        <f aca="false">$C$6</f>
        <v>46286</v>
      </c>
      <c r="D12" s="20" t="n">
        <f aca="false">C12+7</f>
        <v>46293</v>
      </c>
      <c r="E12" s="20" t="n">
        <f aca="false">D12+7</f>
        <v>46300</v>
      </c>
      <c r="F12" s="20" t="n">
        <f aca="false">E12+7</f>
        <v>46307</v>
      </c>
      <c r="G12" s="20" t="n">
        <f aca="false">F12+7</f>
        <v>46314</v>
      </c>
      <c r="H12" s="20" t="n">
        <f aca="false">G12+7</f>
        <v>46321</v>
      </c>
      <c r="I12" s="20" t="n">
        <f aca="false">H12+7</f>
        <v>46328</v>
      </c>
      <c r="J12" s="20" t="n">
        <f aca="false">I12+7</f>
        <v>46335</v>
      </c>
      <c r="K12" s="20" t="n">
        <f aca="false">J12+7</f>
        <v>46342</v>
      </c>
      <c r="L12" s="20" t="n">
        <f aca="false">K12+7</f>
        <v>46349</v>
      </c>
      <c r="M12" s="20" t="n">
        <f aca="false">L12+7</f>
        <v>46356</v>
      </c>
      <c r="N12" s="20" t="n">
        <f aca="false">M12+7</f>
        <v>46363</v>
      </c>
    </row>
    <row r="13" customFormat="false" ht="15" hidden="false" customHeight="false" outlineLevel="0" collapsed="false">
      <c r="B13" s="21" t="s">
        <v>46</v>
      </c>
      <c r="C13" s="22" t="n">
        <f aca="false">SUMIFS('Money in'!$D$5:$D$34,'Money in'!$H$5:$H$34,"&gt;="&amp;C$12,'Money in'!$H$5:$H$34,"&lt;="&amp;C$24,'Money in'!$I$5:$I$34,"&lt;&gt;Paid")</f>
        <v>14500</v>
      </c>
      <c r="D13" s="22" t="n">
        <f aca="false">SUMIFS('Money in'!$D$5:$D$34,'Money in'!$H$5:$H$34,"&gt;="&amp;D$12,'Money in'!$H$5:$H$34,"&lt;="&amp;D$24,'Money in'!$I$5:$I$34,"&lt;&gt;Paid")</f>
        <v>9000</v>
      </c>
      <c r="E13" s="22" t="n">
        <f aca="false">SUMIFS('Money in'!$D$5:$D$34,'Money in'!$H$5:$H$34,"&gt;="&amp;E$12,'Money in'!$H$5:$H$34,"&lt;="&amp;E$24,'Money in'!$I$5:$I$34,"&lt;&gt;Paid")</f>
        <v>4800</v>
      </c>
      <c r="F13" s="22" t="n">
        <f aca="false">SUMIFS('Money in'!$D$5:$D$34,'Money in'!$H$5:$H$34,"&gt;="&amp;F$12,'Money in'!$H$5:$H$34,"&lt;="&amp;F$24,'Money in'!$I$5:$I$34,"&lt;&gt;Paid")</f>
        <v>0</v>
      </c>
      <c r="G13" s="22" t="n">
        <f aca="false">SUMIFS('Money in'!$D$5:$D$34,'Money in'!$H$5:$H$34,"&gt;="&amp;G$12,'Money in'!$H$5:$H$34,"&lt;="&amp;G$24,'Money in'!$I$5:$I$34,"&lt;&gt;Paid")</f>
        <v>0</v>
      </c>
      <c r="H13" s="22" t="n">
        <f aca="false">SUMIFS('Money in'!$D$5:$D$34,'Money in'!$H$5:$H$34,"&gt;="&amp;H$12,'Money in'!$H$5:$H$34,"&lt;="&amp;H$24,'Money in'!$I$5:$I$34,"&lt;&gt;Paid")</f>
        <v>6200</v>
      </c>
      <c r="I13" s="22" t="n">
        <f aca="false">SUMIFS('Money in'!$D$5:$D$34,'Money in'!$H$5:$H$34,"&gt;="&amp;I$12,'Money in'!$H$5:$H$34,"&lt;="&amp;I$24,'Money in'!$I$5:$I$34,"&lt;&gt;Paid")</f>
        <v>0</v>
      </c>
      <c r="J13" s="22" t="n">
        <f aca="false">SUMIFS('Money in'!$D$5:$D$34,'Money in'!$H$5:$H$34,"&gt;="&amp;J$12,'Money in'!$H$5:$H$34,"&lt;="&amp;J$24,'Money in'!$I$5:$I$34,"&lt;&gt;Paid")</f>
        <v>12000</v>
      </c>
      <c r="K13" s="22" t="n">
        <f aca="false">SUMIFS('Money in'!$D$5:$D$34,'Money in'!$H$5:$H$34,"&gt;="&amp;K$12,'Money in'!$H$5:$H$34,"&lt;="&amp;K$24,'Money in'!$I$5:$I$34,"&lt;&gt;Paid")</f>
        <v>5800</v>
      </c>
      <c r="L13" s="22" t="n">
        <f aca="false">SUMIFS('Money in'!$D$5:$D$34,'Money in'!$H$5:$H$34,"&gt;="&amp;L$12,'Money in'!$H$5:$H$34,"&lt;="&amp;L$24,'Money in'!$I$5:$I$34,"&lt;&gt;Paid")</f>
        <v>26000</v>
      </c>
      <c r="M13" s="22" t="n">
        <f aca="false">SUMIFS('Money in'!$D$5:$D$34,'Money in'!$H$5:$H$34,"&gt;="&amp;M$12,'Money in'!$H$5:$H$34,"&lt;="&amp;M$24,'Money in'!$I$5:$I$34,"&lt;&gt;Paid")</f>
        <v>18000</v>
      </c>
      <c r="N13" s="22" t="n">
        <f aca="false">SUMIFS('Money in'!$D$5:$D$34,'Money in'!$H$5:$H$34,"&gt;="&amp;N$12,'Money in'!$H$5:$H$34,"&lt;="&amp;N$24,'Money in'!$I$5:$I$34,"&lt;&gt;Paid")</f>
        <v>12000</v>
      </c>
    </row>
    <row r="14" customFormat="false" ht="15" hidden="false" customHeight="false" outlineLevel="0" collapsed="false">
      <c r="B14" s="21" t="s">
        <v>47</v>
      </c>
      <c r="C14" s="22" t="n">
        <f aca="false">'Money out'!$C$16</f>
        <v>4550</v>
      </c>
      <c r="D14" s="22" t="n">
        <f aca="false">'Money out'!$C$16</f>
        <v>4550</v>
      </c>
      <c r="E14" s="22" t="n">
        <f aca="false">'Money out'!$C$16</f>
        <v>4550</v>
      </c>
      <c r="F14" s="22" t="n">
        <f aca="false">'Money out'!$C$16</f>
        <v>4550</v>
      </c>
      <c r="G14" s="22" t="n">
        <f aca="false">'Money out'!$C$16</f>
        <v>4550</v>
      </c>
      <c r="H14" s="22" t="n">
        <f aca="false">'Money out'!$C$16</f>
        <v>4550</v>
      </c>
      <c r="I14" s="22" t="n">
        <f aca="false">'Money out'!$C$16</f>
        <v>4550</v>
      </c>
      <c r="J14" s="22" t="n">
        <f aca="false">'Money out'!$C$16</f>
        <v>4550</v>
      </c>
      <c r="K14" s="22" t="n">
        <f aca="false">'Money out'!$C$16</f>
        <v>4550</v>
      </c>
      <c r="L14" s="22" t="n">
        <f aca="false">'Money out'!$C$16</f>
        <v>4550</v>
      </c>
      <c r="M14" s="22" t="n">
        <f aca="false">'Money out'!$C$16</f>
        <v>4550</v>
      </c>
      <c r="N14" s="22" t="n">
        <f aca="false">'Money out'!$C$16</f>
        <v>4550</v>
      </c>
    </row>
    <row r="15" customFormat="false" ht="15" hidden="false" customHeight="false" outlineLevel="0" collapsed="false">
      <c r="B15" s="21" t="s">
        <v>48</v>
      </c>
      <c r="C15" s="22" t="n">
        <f aca="false">IF(MONTH(C$12)&lt;&gt;MONTH(C$24),SUMPRODUCT('Money out'!$C$20:$C$34,('Money out'!$D$20:$D$34&gt;=1)*(('Money out'!$D$20:$D$34&gt;=DAY(C$12))+('Money out'!$D$20:$D$34&lt;=DAY(C$24)))),SUMPRODUCT('Money out'!$C$20:$C$34,('Money out'!$D$20:$D$34&gt;=1)*('Money out'!$D$20:$D$34&gt;=DAY(C$12))*('Money out'!$D$20:$D$34&lt;=DAY(C$24))))</f>
        <v>620</v>
      </c>
      <c r="D15" s="22" t="n">
        <f aca="false">IF(MONTH(D$12)&lt;&gt;MONTH(D$24),SUMPRODUCT('Money out'!$C$20:$C$34,('Money out'!$D$20:$D$34&gt;=1)*(('Money out'!$D$20:$D$34&gt;=DAY(D$12))+('Money out'!$D$20:$D$34&lt;=DAY(D$24)))),SUMPRODUCT('Money out'!$C$20:$C$34,('Money out'!$D$20:$D$34&gt;=1)*('Money out'!$D$20:$D$34&gt;=DAY(D$12))*('Money out'!$D$20:$D$34&lt;=DAY(D$24))))</f>
        <v>2400</v>
      </c>
      <c r="E15" s="22" t="n">
        <f aca="false">IF(MONTH(E$12)&lt;&gt;MONTH(E$24),SUMPRODUCT('Money out'!$C$20:$C$34,('Money out'!$D$20:$D$34&gt;=1)*(('Money out'!$D$20:$D$34&gt;=DAY(E$12))+('Money out'!$D$20:$D$34&lt;=DAY(E$24)))),SUMPRODUCT('Money out'!$C$20:$C$34,('Money out'!$D$20:$D$34&gt;=1)*('Money out'!$D$20:$D$34&gt;=DAY(E$12))*('Money out'!$D$20:$D$34&lt;=DAY(E$24))))</f>
        <v>0</v>
      </c>
      <c r="F15" s="22" t="n">
        <f aca="false">IF(MONTH(F$12)&lt;&gt;MONTH(F$24),SUMPRODUCT('Money out'!$C$20:$C$34,('Money out'!$D$20:$D$34&gt;=1)*(('Money out'!$D$20:$D$34&gt;=DAY(F$12))+('Money out'!$D$20:$D$34&lt;=DAY(F$24)))),SUMPRODUCT('Money out'!$C$20:$C$34,('Money out'!$D$20:$D$34&gt;=1)*('Money out'!$D$20:$D$34&gt;=DAY(F$12))*('Money out'!$D$20:$D$34&lt;=DAY(F$24))))</f>
        <v>1150</v>
      </c>
      <c r="G15" s="22" t="n">
        <f aca="false">IF(MONTH(G$12)&lt;&gt;MONTH(G$24),SUMPRODUCT('Money out'!$C$20:$C$34,('Money out'!$D$20:$D$34&gt;=1)*(('Money out'!$D$20:$D$34&gt;=DAY(G$12))+('Money out'!$D$20:$D$34&lt;=DAY(G$24)))),SUMPRODUCT('Money out'!$C$20:$C$34,('Money out'!$D$20:$D$34&gt;=1)*('Money out'!$D$20:$D$34&gt;=DAY(G$12))*('Money out'!$D$20:$D$34&lt;=DAY(G$24))))</f>
        <v>1000</v>
      </c>
      <c r="H15" s="22" t="n">
        <f aca="false">IF(MONTH(H$12)&lt;&gt;MONTH(H$24),SUMPRODUCT('Money out'!$C$20:$C$34,('Money out'!$D$20:$D$34&gt;=1)*(('Money out'!$D$20:$D$34&gt;=DAY(H$12))+('Money out'!$D$20:$D$34&lt;=DAY(H$24)))),SUMPRODUCT('Money out'!$C$20:$C$34,('Money out'!$D$20:$D$34&gt;=1)*('Money out'!$D$20:$D$34&gt;=DAY(H$12))*('Money out'!$D$20:$D$34&lt;=DAY(H$24))))</f>
        <v>2400</v>
      </c>
      <c r="I15" s="22" t="n">
        <f aca="false">IF(MONTH(I$12)&lt;&gt;MONTH(I$24),SUMPRODUCT('Money out'!$C$20:$C$34,('Money out'!$D$20:$D$34&gt;=1)*(('Money out'!$D$20:$D$34&gt;=DAY(I$12))+('Money out'!$D$20:$D$34&lt;=DAY(I$24)))),SUMPRODUCT('Money out'!$C$20:$C$34,('Money out'!$D$20:$D$34&gt;=1)*('Money out'!$D$20:$D$34&gt;=DAY(I$12))*('Money out'!$D$20:$D$34&lt;=DAY(I$24))))</f>
        <v>0</v>
      </c>
      <c r="J15" s="22" t="n">
        <f aca="false">IF(MONTH(J$12)&lt;&gt;MONTH(J$24),SUMPRODUCT('Money out'!$C$20:$C$34,('Money out'!$D$20:$D$34&gt;=1)*(('Money out'!$D$20:$D$34&gt;=DAY(J$12))+('Money out'!$D$20:$D$34&lt;=DAY(J$24)))),SUMPRODUCT('Money out'!$C$20:$C$34,('Money out'!$D$20:$D$34&gt;=1)*('Money out'!$D$20:$D$34&gt;=DAY(J$12))*('Money out'!$D$20:$D$34&lt;=DAY(J$24))))</f>
        <v>1150</v>
      </c>
      <c r="K15" s="22" t="n">
        <f aca="false">IF(MONTH(K$12)&lt;&gt;MONTH(K$24),SUMPRODUCT('Money out'!$C$20:$C$34,('Money out'!$D$20:$D$34&gt;=1)*(('Money out'!$D$20:$D$34&gt;=DAY(K$12))+('Money out'!$D$20:$D$34&lt;=DAY(K$24)))),SUMPRODUCT('Money out'!$C$20:$C$34,('Money out'!$D$20:$D$34&gt;=1)*('Money out'!$D$20:$D$34&gt;=DAY(K$12))*('Money out'!$D$20:$D$34&lt;=DAY(K$24))))</f>
        <v>380</v>
      </c>
      <c r="L15" s="22" t="n">
        <f aca="false">IF(MONTH(L$12)&lt;&gt;MONTH(L$24),SUMPRODUCT('Money out'!$C$20:$C$34,('Money out'!$D$20:$D$34&gt;=1)*(('Money out'!$D$20:$D$34&gt;=DAY(L$12))+('Money out'!$D$20:$D$34&lt;=DAY(L$24)))),SUMPRODUCT('Money out'!$C$20:$C$34,('Money out'!$D$20:$D$34&gt;=1)*('Money out'!$D$20:$D$34&gt;=DAY(L$12))*('Money out'!$D$20:$D$34&lt;=DAY(L$24))))</f>
        <v>620</v>
      </c>
      <c r="M15" s="22" t="n">
        <f aca="false">IF(MONTH(M$12)&lt;&gt;MONTH(M$24),SUMPRODUCT('Money out'!$C$20:$C$34,('Money out'!$D$20:$D$34&gt;=1)*(('Money out'!$D$20:$D$34&gt;=DAY(M$12))+('Money out'!$D$20:$D$34&lt;=DAY(M$24)))),SUMPRODUCT('Money out'!$C$20:$C$34,('Money out'!$D$20:$D$34&gt;=1)*('Money out'!$D$20:$D$34&gt;=DAY(M$12))*('Money out'!$D$20:$D$34&lt;=DAY(M$24))))</f>
        <v>2400</v>
      </c>
      <c r="N15" s="22" t="n">
        <f aca="false">IF(MONTH(N$12)&lt;&gt;MONTH(N$24),SUMPRODUCT('Money out'!$C$20:$C$34,('Money out'!$D$20:$D$34&gt;=1)*(('Money out'!$D$20:$D$34&gt;=DAY(N$12))+('Money out'!$D$20:$D$34&lt;=DAY(N$24)))),SUMPRODUCT('Money out'!$C$20:$C$34,('Money out'!$D$20:$D$34&gt;=1)*('Money out'!$D$20:$D$34&gt;=DAY(N$12))*('Money out'!$D$20:$D$34&lt;=DAY(N$24))))</f>
        <v>1150</v>
      </c>
    </row>
    <row r="16" customFormat="false" ht="15" hidden="false" customHeight="false" outlineLevel="0" collapsed="false">
      <c r="B16" s="21" t="s">
        <v>49</v>
      </c>
      <c r="C16" s="22" t="n">
        <f aca="false">SUMIFS('Money out'!$C$38:$C$57,'Money out'!$D$38:$D$57,"&gt;="&amp;C$12,'Money out'!$D$38:$D$57,"&lt;="&amp;C$24)</f>
        <v>7800</v>
      </c>
      <c r="D16" s="22" t="n">
        <f aca="false">SUMIFS('Money out'!$C$38:$C$57,'Money out'!$D$38:$D$57,"&gt;="&amp;D$12,'Money out'!$D$38:$D$57,"&lt;="&amp;D$24)</f>
        <v>0</v>
      </c>
      <c r="E16" s="22" t="n">
        <f aca="false">SUMIFS('Money out'!$C$38:$C$57,'Money out'!$D$38:$D$57,"&gt;="&amp;E$12,'Money out'!$D$38:$D$57,"&lt;="&amp;E$24)</f>
        <v>0</v>
      </c>
      <c r="F16" s="22" t="n">
        <f aca="false">SUMIFS('Money out'!$C$38:$C$57,'Money out'!$D$38:$D$57,"&gt;="&amp;F$12,'Money out'!$D$38:$D$57,"&lt;="&amp;F$24)</f>
        <v>11000</v>
      </c>
      <c r="G16" s="22" t="n">
        <f aca="false">SUMIFS('Money out'!$C$38:$C$57,'Money out'!$D$38:$D$57,"&gt;="&amp;G$12,'Money out'!$D$38:$D$57,"&lt;="&amp;G$24)</f>
        <v>1600</v>
      </c>
      <c r="H16" s="22" t="n">
        <f aca="false">SUMIFS('Money out'!$C$38:$C$57,'Money out'!$D$38:$D$57,"&gt;="&amp;H$12,'Money out'!$D$38:$D$57,"&lt;="&amp;H$24)</f>
        <v>5500</v>
      </c>
      <c r="I16" s="22" t="n">
        <f aca="false">SUMIFS('Money out'!$C$38:$C$57,'Money out'!$D$38:$D$57,"&gt;="&amp;I$12,'Money out'!$D$38:$D$57,"&lt;="&amp;I$24)</f>
        <v>0</v>
      </c>
      <c r="J16" s="22" t="n">
        <f aca="false">SUMIFS('Money out'!$C$38:$C$57,'Money out'!$D$38:$D$57,"&gt;="&amp;J$12,'Money out'!$D$38:$D$57,"&lt;="&amp;J$24)</f>
        <v>0</v>
      </c>
      <c r="K16" s="22" t="n">
        <f aca="false">SUMIFS('Money out'!$C$38:$C$57,'Money out'!$D$38:$D$57,"&gt;="&amp;K$12,'Money out'!$D$38:$D$57,"&lt;="&amp;K$24)</f>
        <v>0</v>
      </c>
      <c r="L16" s="22" t="n">
        <f aca="false">SUMIFS('Money out'!$C$38:$C$57,'Money out'!$D$38:$D$57,"&gt;="&amp;L$12,'Money out'!$D$38:$D$57,"&lt;="&amp;L$24)</f>
        <v>5200</v>
      </c>
      <c r="M16" s="22" t="n">
        <f aca="false">SUMIFS('Money out'!$C$38:$C$57,'Money out'!$D$38:$D$57,"&gt;="&amp;M$12,'Money out'!$D$38:$D$57,"&lt;="&amp;M$24)</f>
        <v>0</v>
      </c>
      <c r="N16" s="22" t="n">
        <f aca="false">SUMIFS('Money out'!$C$38:$C$57,'Money out'!$D$38:$D$57,"&gt;="&amp;N$12,'Money out'!$D$38:$D$57,"&lt;="&amp;N$24)</f>
        <v>0</v>
      </c>
    </row>
    <row r="17" customFormat="false" ht="15" hidden="false" customHeight="false" outlineLevel="0" collapsed="false">
      <c r="B17" s="21" t="s">
        <v>50</v>
      </c>
      <c r="C17" s="22" t="n">
        <f aca="false">SUMPRODUCT(('Lumpy costs'!$D$5:$D$19&gt;0)*((C$12&lt;'Lumpy costs'!$D$5:$D$19)*('Lumpy costs'!$C$5:$C$19-'Lumpy costs'!$F$5:$F$19)/'Lumpy costs'!$H$5:$H$19+(C$12&gt;='Lumpy costs'!$D$5:$D$19)*'Lumpy costs'!$C$5:$C$19/'Lumpy costs'!$I$5:$I$19))</f>
        <v>1196.24060150376</v>
      </c>
      <c r="D17" s="22" t="n">
        <f aca="false">SUMPRODUCT(('Lumpy costs'!$D$5:$D$19&gt;0)*((D$12&lt;'Lumpy costs'!$D$5:$D$19)*('Lumpy costs'!$C$5:$C$19-'Lumpy costs'!$F$5:$F$19)/'Lumpy costs'!$H$5:$H$19+(D$12&gt;='Lumpy costs'!$D$5:$D$19)*'Lumpy costs'!$C$5:$C$19/'Lumpy costs'!$I$5:$I$19))</f>
        <v>1196.24060150376</v>
      </c>
      <c r="E17" s="22" t="n">
        <f aca="false">SUMPRODUCT(('Lumpy costs'!$D$5:$D$19&gt;0)*((E$12&lt;'Lumpy costs'!$D$5:$D$19)*('Lumpy costs'!$C$5:$C$19-'Lumpy costs'!$F$5:$F$19)/'Lumpy costs'!$H$5:$H$19+(E$12&gt;='Lumpy costs'!$D$5:$D$19)*'Lumpy costs'!$C$5:$C$19/'Lumpy costs'!$I$5:$I$19))</f>
        <v>1196.24060150376</v>
      </c>
      <c r="F17" s="22" t="n">
        <f aca="false">SUMPRODUCT(('Lumpy costs'!$D$5:$D$19&gt;0)*((F$12&lt;'Lumpy costs'!$D$5:$D$19)*('Lumpy costs'!$C$5:$C$19-'Lumpy costs'!$F$5:$F$19)/'Lumpy costs'!$H$5:$H$19+(F$12&gt;='Lumpy costs'!$D$5:$D$19)*'Lumpy costs'!$C$5:$C$19/'Lumpy costs'!$I$5:$I$19))</f>
        <v>1196.24060150376</v>
      </c>
      <c r="G17" s="22" t="n">
        <f aca="false">SUMPRODUCT(('Lumpy costs'!$D$5:$D$19&gt;0)*((G$12&lt;'Lumpy costs'!$D$5:$D$19)*('Lumpy costs'!$C$5:$C$19-'Lumpy costs'!$F$5:$F$19)/'Lumpy costs'!$H$5:$H$19+(G$12&gt;='Lumpy costs'!$D$5:$D$19)*'Lumpy costs'!$C$5:$C$19/'Lumpy costs'!$I$5:$I$19))</f>
        <v>1196.24060150376</v>
      </c>
      <c r="H17" s="22" t="n">
        <f aca="false">SUMPRODUCT(('Lumpy costs'!$D$5:$D$19&gt;0)*((H$12&lt;'Lumpy costs'!$D$5:$D$19)*('Lumpy costs'!$C$5:$C$19-'Lumpy costs'!$F$5:$F$19)/'Lumpy costs'!$H$5:$H$19+(H$12&gt;='Lumpy costs'!$D$5:$D$19)*'Lumpy costs'!$C$5:$C$19/'Lumpy costs'!$I$5:$I$19))</f>
        <v>1196.24060150376</v>
      </c>
      <c r="I17" s="22" t="n">
        <f aca="false">SUMPRODUCT(('Lumpy costs'!$D$5:$D$19&gt;0)*((I$12&lt;'Lumpy costs'!$D$5:$D$19)*('Lumpy costs'!$C$5:$C$19-'Lumpy costs'!$F$5:$F$19)/'Lumpy costs'!$H$5:$H$19+(I$12&gt;='Lumpy costs'!$D$5:$D$19)*'Lumpy costs'!$C$5:$C$19/'Lumpy costs'!$I$5:$I$19))</f>
        <v>1196.24060150376</v>
      </c>
      <c r="J17" s="22" t="n">
        <f aca="false">SUMPRODUCT(('Lumpy costs'!$D$5:$D$19&gt;0)*((J$12&lt;'Lumpy costs'!$D$5:$D$19)*('Lumpy costs'!$C$5:$C$19-'Lumpy costs'!$F$5:$F$19)/'Lumpy costs'!$H$5:$H$19+(J$12&gt;='Lumpy costs'!$D$5:$D$19)*'Lumpy costs'!$C$5:$C$19/'Lumpy costs'!$I$5:$I$19))</f>
        <v>1031.40543666859</v>
      </c>
      <c r="K17" s="22" t="n">
        <f aca="false">SUMPRODUCT(('Lumpy costs'!$D$5:$D$19&gt;0)*((K$12&lt;'Lumpy costs'!$D$5:$D$19)*('Lumpy costs'!$C$5:$C$19-'Lumpy costs'!$F$5:$F$19)/'Lumpy costs'!$H$5:$H$19+(K$12&gt;='Lumpy costs'!$D$5:$D$19)*'Lumpy costs'!$C$5:$C$19/'Lumpy costs'!$I$5:$I$19))</f>
        <v>1031.40543666859</v>
      </c>
      <c r="L17" s="22" t="n">
        <f aca="false">SUMPRODUCT(('Lumpy costs'!$D$5:$D$19&gt;0)*((L$12&lt;'Lumpy costs'!$D$5:$D$19)*('Lumpy costs'!$C$5:$C$19-'Lumpy costs'!$F$5:$F$19)/'Lumpy costs'!$H$5:$H$19+(L$12&gt;='Lumpy costs'!$D$5:$D$19)*'Lumpy costs'!$C$5:$C$19/'Lumpy costs'!$I$5:$I$19))</f>
        <v>1031.40543666859</v>
      </c>
      <c r="M17" s="22" t="n">
        <f aca="false">SUMPRODUCT(('Lumpy costs'!$D$5:$D$19&gt;0)*((M$12&lt;'Lumpy costs'!$D$5:$D$19)*('Lumpy costs'!$C$5:$C$19-'Lumpy costs'!$F$5:$F$19)/'Lumpy costs'!$H$5:$H$19+(M$12&gt;='Lumpy costs'!$D$5:$D$19)*'Lumpy costs'!$C$5:$C$19/'Lumpy costs'!$I$5:$I$19))</f>
        <v>1031.40543666859</v>
      </c>
      <c r="N17" s="22" t="n">
        <f aca="false">SUMPRODUCT(('Lumpy costs'!$D$5:$D$19&gt;0)*((N$12&lt;'Lumpy costs'!$D$5:$D$19)*('Lumpy costs'!$C$5:$C$19-'Lumpy costs'!$F$5:$F$19)/'Lumpy costs'!$H$5:$H$19+(N$12&gt;='Lumpy costs'!$D$5:$D$19)*'Lumpy costs'!$C$5:$C$19/'Lumpy costs'!$I$5:$I$19))</f>
        <v>1031.40543666859</v>
      </c>
    </row>
    <row r="18" customFormat="false" ht="15" hidden="false" customHeight="false" outlineLevel="0" collapsed="false">
      <c r="B18" s="23" t="s">
        <v>51</v>
      </c>
      <c r="C18" s="24" t="n">
        <f aca="false">($C$5-SUM('Lumpy costs'!$F$5:$F$19))+C13-C14-C15-C16-C17</f>
        <v>30233.7593984962</v>
      </c>
      <c r="D18" s="24" t="n">
        <f aca="false">C18+D13-D14-D15-D16-D17</f>
        <v>31087.5187969925</v>
      </c>
      <c r="E18" s="24" t="n">
        <f aca="false">D18+E13-E14-E15-E16-E17</f>
        <v>30141.2781954887</v>
      </c>
      <c r="F18" s="24" t="n">
        <f aca="false">E18+F13-F14-F15-F16-F17</f>
        <v>12245.037593985</v>
      </c>
      <c r="G18" s="24" t="n">
        <f aca="false">F18+G13-G14-G15-G16-G17</f>
        <v>3898.79699248121</v>
      </c>
      <c r="H18" s="24" t="n">
        <f aca="false">G18+H13-H14-H15-H16-H17</f>
        <v>-3547.44360902255</v>
      </c>
      <c r="I18" s="24" t="n">
        <f aca="false">H18+I13-I14-I15-I16-I17</f>
        <v>-9293.68421052631</v>
      </c>
      <c r="J18" s="24" t="n">
        <f aca="false">I18+J13-J14-J15-J16-J17</f>
        <v>-4025.0896471949</v>
      </c>
      <c r="K18" s="24" t="n">
        <f aca="false">J18+K13-K14-K15-K16-K17</f>
        <v>-4186.4950838635</v>
      </c>
      <c r="L18" s="24" t="n">
        <f aca="false">K18+L13-L14-L15-L16-L17</f>
        <v>10412.0994794679</v>
      </c>
      <c r="M18" s="24" t="n">
        <f aca="false">L18+M13-M14-M15-M16-M17</f>
        <v>20430.6940427993</v>
      </c>
      <c r="N18" s="24" t="n">
        <f aca="false">M18+N13-N14-N15-N16-N17</f>
        <v>25699.2886061307</v>
      </c>
    </row>
    <row r="19" customFormat="false" ht="15" hidden="false" customHeight="false" outlineLevel="0" collapsed="false">
      <c r="B19" s="25" t="s">
        <v>52</v>
      </c>
      <c r="C19" s="26" t="n">
        <f aca="false">SUMIFS('Lumpy costs'!$C$5:$C$19,'Lumpy costs'!$D$5:$D$19,"&gt;="&amp;C$12,'Lumpy costs'!$D$5:$D$19,"&lt;="&amp;C$24)</f>
        <v>0</v>
      </c>
      <c r="D19" s="26" t="n">
        <f aca="false">SUMIFS('Lumpy costs'!$C$5:$C$19,'Lumpy costs'!$D$5:$D$19,"&gt;="&amp;D$12,'Lumpy costs'!$D$5:$D$19,"&lt;="&amp;D$24)</f>
        <v>0</v>
      </c>
      <c r="E19" s="26" t="n">
        <f aca="false">SUMIFS('Lumpy costs'!$C$5:$C$19,'Lumpy costs'!$D$5:$D$19,"&gt;="&amp;E$12,'Lumpy costs'!$D$5:$D$19,"&lt;="&amp;E$24)</f>
        <v>0</v>
      </c>
      <c r="F19" s="26" t="n">
        <f aca="false">SUMIFS('Lumpy costs'!$C$5:$C$19,'Lumpy costs'!$D$5:$D$19,"&gt;="&amp;F$12,'Lumpy costs'!$D$5:$D$19,"&lt;="&amp;F$24)</f>
        <v>0</v>
      </c>
      <c r="G19" s="26" t="n">
        <f aca="false">SUMIFS('Lumpy costs'!$C$5:$C$19,'Lumpy costs'!$D$5:$D$19,"&gt;="&amp;G$12,'Lumpy costs'!$D$5:$D$19,"&lt;="&amp;G$24)</f>
        <v>0</v>
      </c>
      <c r="H19" s="26" t="n">
        <f aca="false">SUMIFS('Lumpy costs'!$C$5:$C$19,'Lumpy costs'!$D$5:$D$19,"&gt;="&amp;H$12,'Lumpy costs'!$D$5:$D$19,"&lt;="&amp;H$24)</f>
        <v>0</v>
      </c>
      <c r="I19" s="26" t="n">
        <f aca="false">SUMIFS('Lumpy costs'!$C$5:$C$19,'Lumpy costs'!$D$5:$D$19,"&gt;="&amp;I$12,'Lumpy costs'!$D$5:$D$19,"&lt;="&amp;I$24)</f>
        <v>9000</v>
      </c>
      <c r="J19" s="26" t="n">
        <f aca="false">SUMIFS('Lumpy costs'!$C$5:$C$19,'Lumpy costs'!$D$5:$D$19,"&gt;="&amp;J$12,'Lumpy costs'!$D$5:$D$19,"&lt;="&amp;J$24)</f>
        <v>0</v>
      </c>
      <c r="K19" s="26" t="n">
        <f aca="false">SUMIFS('Lumpy costs'!$C$5:$C$19,'Lumpy costs'!$D$5:$D$19,"&gt;="&amp;K$12,'Lumpy costs'!$D$5:$D$19,"&lt;="&amp;K$24)</f>
        <v>0</v>
      </c>
      <c r="L19" s="26" t="n">
        <f aca="false">SUMIFS('Lumpy costs'!$C$5:$C$19,'Lumpy costs'!$D$5:$D$19,"&gt;="&amp;L$12,'Lumpy costs'!$D$5:$D$19,"&lt;="&amp;L$24)</f>
        <v>0</v>
      </c>
      <c r="M19" s="26" t="n">
        <f aca="false">SUMIFS('Lumpy costs'!$C$5:$C$19,'Lumpy costs'!$D$5:$D$19,"&gt;="&amp;M$12,'Lumpy costs'!$D$5:$D$19,"&lt;="&amp;M$24)</f>
        <v>0</v>
      </c>
      <c r="N19" s="26" t="n">
        <f aca="false">SUMIFS('Lumpy costs'!$C$5:$C$19,'Lumpy costs'!$D$5:$D$19,"&gt;="&amp;N$12,'Lumpy costs'!$D$5:$D$19,"&lt;="&amp;N$24)</f>
        <v>0</v>
      </c>
    </row>
    <row r="20" customFormat="false" ht="15" hidden="false" customHeight="false" outlineLevel="0" collapsed="false">
      <c r="B20" s="25" t="s">
        <v>53</v>
      </c>
      <c r="C20" s="26" t="n">
        <f aca="false">SUM('Lumpy costs'!$F$5:$F$19)+C17-C19</f>
        <v>7296.24060150376</v>
      </c>
      <c r="D20" s="26" t="n">
        <f aca="false">C20+D17-D19</f>
        <v>8492.48120300752</v>
      </c>
      <c r="E20" s="26" t="n">
        <f aca="false">D20+E17-E19</f>
        <v>9688.72180451128</v>
      </c>
      <c r="F20" s="26" t="n">
        <f aca="false">E20+F17-F19</f>
        <v>10884.962406015</v>
      </c>
      <c r="G20" s="26" t="n">
        <f aca="false">F20+G17-G19</f>
        <v>12081.2030075188</v>
      </c>
      <c r="H20" s="26" t="n">
        <f aca="false">G20+H17-H19</f>
        <v>13277.4436090226</v>
      </c>
      <c r="I20" s="26" t="n">
        <f aca="false">H20+I17-I19</f>
        <v>5473.68421052632</v>
      </c>
      <c r="J20" s="26" t="n">
        <f aca="false">I20+J17-J19</f>
        <v>6505.08964719491</v>
      </c>
      <c r="K20" s="26" t="n">
        <f aca="false">J20+K17-K19</f>
        <v>7536.49508386351</v>
      </c>
      <c r="L20" s="26" t="n">
        <f aca="false">K20+L17-L19</f>
        <v>8567.9005205321</v>
      </c>
      <c r="M20" s="26" t="n">
        <f aca="false">L20+M17-M19</f>
        <v>9599.30595720069</v>
      </c>
      <c r="N20" s="26" t="n">
        <f aca="false">M20+N17-N19</f>
        <v>10630.7113938693</v>
      </c>
    </row>
    <row r="21" customFormat="false" ht="15" hidden="false" customHeight="false" outlineLevel="0" collapsed="false">
      <c r="B21" s="23" t="s">
        <v>54</v>
      </c>
      <c r="C21" s="24" t="n">
        <f aca="false">C18+C20</f>
        <v>37530</v>
      </c>
      <c r="D21" s="24" t="n">
        <f aca="false">D18+D20</f>
        <v>39580</v>
      </c>
      <c r="E21" s="24" t="n">
        <f aca="false">E18+E20</f>
        <v>39830</v>
      </c>
      <c r="F21" s="24" t="n">
        <f aca="false">F18+F20</f>
        <v>23130</v>
      </c>
      <c r="G21" s="24" t="n">
        <f aca="false">G18+G20</f>
        <v>15980</v>
      </c>
      <c r="H21" s="24" t="n">
        <f aca="false">H18+H20</f>
        <v>9730.00000000001</v>
      </c>
      <c r="I21" s="24" t="n">
        <f aca="false">I18+I20</f>
        <v>-3819.99999999999</v>
      </c>
      <c r="J21" s="24" t="n">
        <f aca="false">J18+J20</f>
        <v>2480.00000000001</v>
      </c>
      <c r="K21" s="24" t="n">
        <f aca="false">K18+K20</f>
        <v>3350.00000000001</v>
      </c>
      <c r="L21" s="24" t="n">
        <f aca="false">L18+L20</f>
        <v>18980</v>
      </c>
      <c r="M21" s="24" t="n">
        <f aca="false">M18+M20</f>
        <v>30030</v>
      </c>
      <c r="N21" s="24" t="n">
        <f aca="false">N18+N20</f>
        <v>36330</v>
      </c>
    </row>
    <row r="22" customFormat="false" ht="30" hidden="false" customHeight="true" outlineLevel="0" collapsed="false">
      <c r="B22" s="27" t="s">
        <v>55</v>
      </c>
      <c r="C22" s="28" t="str">
        <f aca="false">CHOOSE(C25+1,"OK","Below buffer","Uses reserve","SHORT")</f>
        <v>OK</v>
      </c>
      <c r="D22" s="28" t="str">
        <f aca="false">CHOOSE(D25+1,"OK","Below buffer","Uses reserve","SHORT")</f>
        <v>OK</v>
      </c>
      <c r="E22" s="28" t="str">
        <f aca="false">CHOOSE(E25+1,"OK","Below buffer","Uses reserve","SHORT")</f>
        <v>OK</v>
      </c>
      <c r="F22" s="28" t="str">
        <f aca="false">CHOOSE(F25+1,"OK","Below buffer","Uses reserve","SHORT")</f>
        <v>OK</v>
      </c>
      <c r="G22" s="28" t="str">
        <f aca="false">CHOOSE(G25+1,"OK","Below buffer","Uses reserve","SHORT")</f>
        <v>Below buffer</v>
      </c>
      <c r="H22" s="28" t="str">
        <f aca="false">CHOOSE(H25+1,"OK","Below buffer","Uses reserve","SHORT")</f>
        <v>Uses reserve</v>
      </c>
      <c r="I22" s="28" t="str">
        <f aca="false">CHOOSE(I25+1,"OK","Below buffer","Uses reserve","SHORT")</f>
        <v>SHORT</v>
      </c>
      <c r="J22" s="28" t="str">
        <f aca="false">CHOOSE(J25+1,"OK","Below buffer","Uses reserve","SHORT")</f>
        <v>Uses reserve</v>
      </c>
      <c r="K22" s="28" t="str">
        <f aca="false">CHOOSE(K25+1,"OK","Below buffer","Uses reserve","SHORT")</f>
        <v>Uses reserve</v>
      </c>
      <c r="L22" s="28" t="str">
        <f aca="false">CHOOSE(L25+1,"OK","Below buffer","Uses reserve","SHORT")</f>
        <v>OK</v>
      </c>
      <c r="M22" s="28" t="str">
        <f aca="false">CHOOSE(M25+1,"OK","Below buffer","Uses reserve","SHORT")</f>
        <v>OK</v>
      </c>
      <c r="N22" s="28" t="str">
        <f aca="false">CHOOSE(N25+1,"OK","Below buffer","Uses reserve","SHORT")</f>
        <v>OK</v>
      </c>
    </row>
    <row r="24" customFormat="false" ht="15" hidden="true" customHeight="false" outlineLevel="0" collapsed="false">
      <c r="B24" s="0" t="s">
        <v>56</v>
      </c>
      <c r="C24" s="29" t="n">
        <f aca="false">C12+6</f>
        <v>46292</v>
      </c>
      <c r="D24" s="29" t="n">
        <f aca="false">D12+6</f>
        <v>46299</v>
      </c>
      <c r="E24" s="29" t="n">
        <f aca="false">E12+6</f>
        <v>46306</v>
      </c>
      <c r="F24" s="29" t="n">
        <f aca="false">F12+6</f>
        <v>46313</v>
      </c>
      <c r="G24" s="29" t="n">
        <f aca="false">G12+6</f>
        <v>46320</v>
      </c>
      <c r="H24" s="29" t="n">
        <f aca="false">H12+6</f>
        <v>46327</v>
      </c>
      <c r="I24" s="29" t="n">
        <f aca="false">I12+6</f>
        <v>46334</v>
      </c>
      <c r="J24" s="29" t="n">
        <f aca="false">J12+6</f>
        <v>46341</v>
      </c>
      <c r="K24" s="29" t="n">
        <f aca="false">K12+6</f>
        <v>46348</v>
      </c>
      <c r="L24" s="29" t="n">
        <f aca="false">L12+6</f>
        <v>46355</v>
      </c>
      <c r="M24" s="29" t="n">
        <f aca="false">M12+6</f>
        <v>46362</v>
      </c>
      <c r="N24" s="29" t="n">
        <f aca="false">N12+6</f>
        <v>46369</v>
      </c>
    </row>
    <row r="25" customFormat="false" ht="15" hidden="true" customHeight="false" outlineLevel="0" collapsed="false">
      <c r="B25" s="0" t="s">
        <v>57</v>
      </c>
      <c r="C25" s="0" t="n">
        <f aca="false">IF(C21&lt;0,3,IF(C18&lt;0,2,IF(C18&lt;$C$7,1,0)))</f>
        <v>0</v>
      </c>
      <c r="D25" s="0" t="n">
        <f aca="false">IF(D21&lt;0,3,IF(D18&lt;0,2,IF(D18&lt;$C$7,1,0)))</f>
        <v>0</v>
      </c>
      <c r="E25" s="0" t="n">
        <f aca="false">IF(E21&lt;0,3,IF(E18&lt;0,2,IF(E18&lt;$C$7,1,0)))</f>
        <v>0</v>
      </c>
      <c r="F25" s="0" t="n">
        <f aca="false">IF(F21&lt;0,3,IF(F18&lt;0,2,IF(F18&lt;$C$7,1,0)))</f>
        <v>0</v>
      </c>
      <c r="G25" s="0" t="n">
        <f aca="false">IF(G21&lt;0,3,IF(G18&lt;0,2,IF(G18&lt;$C$7,1,0)))</f>
        <v>1</v>
      </c>
      <c r="H25" s="0" t="n">
        <f aca="false">IF(H21&lt;0,3,IF(H18&lt;0,2,IF(H18&lt;$C$7,1,0)))</f>
        <v>2</v>
      </c>
      <c r="I25" s="0" t="n">
        <f aca="false">IF(I21&lt;0,3,IF(I18&lt;0,2,IF(I18&lt;$C$7,1,0)))</f>
        <v>3</v>
      </c>
      <c r="J25" s="0" t="n">
        <f aca="false">IF(J21&lt;0,3,IF(J18&lt;0,2,IF(J18&lt;$C$7,1,0)))</f>
        <v>2</v>
      </c>
      <c r="K25" s="0" t="n">
        <f aca="false">IF(K21&lt;0,3,IF(K18&lt;0,2,IF(K18&lt;$C$7,1,0)))</f>
        <v>2</v>
      </c>
      <c r="L25" s="0" t="n">
        <f aca="false">IF(L21&lt;0,3,IF(L18&lt;0,2,IF(L18&lt;$C$7,1,0)))</f>
        <v>0</v>
      </c>
      <c r="M25" s="0" t="n">
        <f aca="false">IF(M21&lt;0,3,IF(M18&lt;0,2,IF(M18&lt;$C$7,1,0)))</f>
        <v>0</v>
      </c>
      <c r="N25" s="0" t="n">
        <f aca="false">IF(N21&lt;0,3,IF(N18&lt;0,2,IF(N18&lt;$C$7,1,0)))</f>
        <v>0</v>
      </c>
    </row>
    <row r="26" customFormat="false" ht="15" hidden="true" customHeight="false" outlineLevel="0" collapsed="false">
      <c r="B26" s="0" t="s">
        <v>58</v>
      </c>
      <c r="C26" s="0" t="n">
        <f aca="false">IF(C25&gt;=2,1,0)</f>
        <v>0</v>
      </c>
      <c r="D26" s="0" t="n">
        <f aca="false">IF(D25&gt;=2,1,0)</f>
        <v>0</v>
      </c>
      <c r="E26" s="0" t="n">
        <f aca="false">IF(E25&gt;=2,1,0)</f>
        <v>0</v>
      </c>
      <c r="F26" s="0" t="n">
        <f aca="false">IF(F25&gt;=2,1,0)</f>
        <v>0</v>
      </c>
      <c r="G26" s="0" t="n">
        <f aca="false">IF(G25&gt;=2,1,0)</f>
        <v>0</v>
      </c>
      <c r="H26" s="0" t="n">
        <f aca="false">IF(H25&gt;=2,1,0)</f>
        <v>1</v>
      </c>
      <c r="I26" s="0" t="n">
        <f aca="false">IF(I25&gt;=2,1,0)</f>
        <v>1</v>
      </c>
      <c r="J26" s="0" t="n">
        <f aca="false">IF(J25&gt;=2,1,0)</f>
        <v>1</v>
      </c>
      <c r="K26" s="0" t="n">
        <f aca="false">IF(K25&gt;=2,1,0)</f>
        <v>1</v>
      </c>
      <c r="L26" s="0" t="n">
        <f aca="false">IF(L25&gt;=2,1,0)</f>
        <v>0</v>
      </c>
      <c r="M26" s="0" t="n">
        <f aca="false">IF(M25&gt;=2,1,0)</f>
        <v>0</v>
      </c>
      <c r="N26" s="0" t="n">
        <f aca="false">IF(N25&gt;=2,1,0)</f>
        <v>0</v>
      </c>
    </row>
    <row r="47" customFormat="false" ht="15" hidden="false" customHeight="false" outlineLevel="0" collapsed="false">
      <c r="B47" s="30" t="s">
        <v>59</v>
      </c>
      <c r="C47" s="30" t="str">
        <f aca="false">TEXT(C12,"mmm d")</f>
        <v>Sep 21</v>
      </c>
      <c r="D47" s="30" t="str">
        <f aca="false">TEXT(D12,"mmm d")</f>
        <v>Sep 28</v>
      </c>
      <c r="E47" s="30" t="str">
        <f aca="false">TEXT(E12,"mmm d")</f>
        <v>Oct 5</v>
      </c>
      <c r="F47" s="30" t="str">
        <f aca="false">TEXT(F12,"mmm d")</f>
        <v>Oct 12</v>
      </c>
      <c r="G47" s="30" t="str">
        <f aca="false">TEXT(G12,"mmm d")</f>
        <v>Oct 19</v>
      </c>
      <c r="H47" s="30" t="str">
        <f aca="false">TEXT(H12,"mmm d")</f>
        <v>Oct 26</v>
      </c>
      <c r="I47" s="30" t="str">
        <f aca="false">TEXT(I12,"mmm d")</f>
        <v>Nov 2</v>
      </c>
      <c r="J47" s="30" t="str">
        <f aca="false">TEXT(J12,"mmm d")</f>
        <v>Nov 9</v>
      </c>
      <c r="K47" s="30" t="str">
        <f aca="false">TEXT(K12,"mmm d")</f>
        <v>Nov 16</v>
      </c>
      <c r="L47" s="30" t="str">
        <f aca="false">TEXT(L12,"mmm d")</f>
        <v>Nov 23</v>
      </c>
      <c r="M47" s="30" t="str">
        <f aca="false">TEXT(M12,"mmm d")</f>
        <v>Nov 30</v>
      </c>
      <c r="N47" s="30" t="str">
        <f aca="false">TEXT(N12,"mmm d")</f>
        <v>Dec 7</v>
      </c>
    </row>
    <row r="48" customFormat="false" ht="15" hidden="false" customHeight="false" outlineLevel="0" collapsed="false">
      <c r="B48" s="30" t="s">
        <v>60</v>
      </c>
      <c r="C48" s="31" t="n">
        <f aca="false">MAX(0,C18)</f>
        <v>30233.7593984962</v>
      </c>
      <c r="D48" s="31" t="n">
        <f aca="false">MAX(0,D18)</f>
        <v>31087.5187969925</v>
      </c>
      <c r="E48" s="31" t="n">
        <f aca="false">MAX(0,E18)</f>
        <v>30141.2781954887</v>
      </c>
      <c r="F48" s="31" t="n">
        <f aca="false">MAX(0,F18)</f>
        <v>12245.037593985</v>
      </c>
      <c r="G48" s="31" t="n">
        <f aca="false">MAX(0,G18)</f>
        <v>3898.79699248121</v>
      </c>
      <c r="H48" s="31" t="n">
        <f aca="false">MAX(0,H18)</f>
        <v>0</v>
      </c>
      <c r="I48" s="31" t="n">
        <f aca="false">MAX(0,I18)</f>
        <v>0</v>
      </c>
      <c r="J48" s="31" t="n">
        <f aca="false">MAX(0,J18)</f>
        <v>0</v>
      </c>
      <c r="K48" s="31" t="n">
        <f aca="false">MAX(0,K18)</f>
        <v>0</v>
      </c>
      <c r="L48" s="31" t="n">
        <f aca="false">MAX(0,L18)</f>
        <v>10412.0994794679</v>
      </c>
      <c r="M48" s="31" t="n">
        <f aca="false">MAX(0,M18)</f>
        <v>20430.6940427993</v>
      </c>
      <c r="N48" s="31" t="n">
        <f aca="false">MAX(0,N18)</f>
        <v>25699.2886061307</v>
      </c>
    </row>
    <row r="49" customFormat="false" ht="15" hidden="false" customHeight="false" outlineLevel="0" collapsed="false">
      <c r="B49" s="30" t="s">
        <v>61</v>
      </c>
      <c r="C49" s="31" t="n">
        <f aca="false">MIN(0,C18)</f>
        <v>0</v>
      </c>
      <c r="D49" s="31" t="n">
        <f aca="false">MIN(0,D18)</f>
        <v>0</v>
      </c>
      <c r="E49" s="31" t="n">
        <f aca="false">MIN(0,E18)</f>
        <v>0</v>
      </c>
      <c r="F49" s="31" t="n">
        <f aca="false">MIN(0,F18)</f>
        <v>0</v>
      </c>
      <c r="G49" s="31" t="n">
        <f aca="false">MIN(0,G18)</f>
        <v>0</v>
      </c>
      <c r="H49" s="31" t="n">
        <f aca="false">MIN(0,H18)</f>
        <v>-3547.44360902255</v>
      </c>
      <c r="I49" s="31" t="n">
        <f aca="false">MIN(0,I18)</f>
        <v>-9293.68421052631</v>
      </c>
      <c r="J49" s="31" t="n">
        <f aca="false">MIN(0,J18)</f>
        <v>-4025.0896471949</v>
      </c>
      <c r="K49" s="31" t="n">
        <f aca="false">MIN(0,K18)</f>
        <v>-4186.4950838635</v>
      </c>
      <c r="L49" s="31" t="n">
        <f aca="false">MIN(0,L18)</f>
        <v>0</v>
      </c>
      <c r="M49" s="31" t="n">
        <f aca="false">MIN(0,M18)</f>
        <v>0</v>
      </c>
      <c r="N49" s="31" t="n">
        <f aca="false">MIN(0,N18)</f>
        <v>0</v>
      </c>
    </row>
    <row r="51" customFormat="false" ht="15" hidden="false" customHeight="false" outlineLevel="0" collapsed="false">
      <c r="B51" s="32" t="s">
        <v>62</v>
      </c>
    </row>
  </sheetData>
  <conditionalFormatting sqref="C22:N22">
    <cfRule type="expression" priority="2" aboveAverage="0" equalAverage="0" bottom="0" percent="0" rank="0" text="" dxfId="0">
      <formula>C22="SHORT"</formula>
    </cfRule>
    <cfRule type="expression" priority="3" aboveAverage="0" equalAverage="0" bottom="0" percent="0" rank="0" text="" dxfId="1">
      <formula>C22="Uses reserve"</formula>
    </cfRule>
    <cfRule type="expression" priority="4" aboveAverage="0" equalAverage="0" bottom="0" percent="0" rank="0" text="" dxfId="2">
      <formula>C22="Below buffer"</formula>
    </cfRule>
    <cfRule type="expression" priority="5" aboveAverage="0" equalAverage="0" bottom="0" percent="0" rank="0" text="" dxfId="3">
      <formula>C22="OK"</formula>
    </cfRule>
  </conditionalFormatting>
  <hyperlinks>
    <hyperlink ref="B51" r:id="rId2" display="Made with Runway's free template. An app version is in development: runwaypee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24"/>
  </cols>
  <sheetData>
    <row r="1" customFormat="false" ht="25.5" hidden="false" customHeight="true" outlineLevel="0" collapsed="false">
      <c r="B1" s="9" t="s">
        <v>63</v>
      </c>
    </row>
    <row r="2" customFormat="false" ht="15" hidden="false" customHeight="false" outlineLevel="0" collapsed="false">
      <c r="B2" s="10" t="s">
        <v>64</v>
      </c>
    </row>
    <row r="4" customFormat="false" ht="43.5" hidden="false" customHeight="true" outlineLevel="0" collapsed="false">
      <c r="B4" s="33" t="s">
        <v>65</v>
      </c>
      <c r="C4" s="33" t="s">
        <v>66</v>
      </c>
      <c r="D4" s="33" t="s">
        <v>67</v>
      </c>
      <c r="E4" s="33" t="s">
        <v>68</v>
      </c>
      <c r="F4" s="33" t="s">
        <v>69</v>
      </c>
      <c r="G4" s="33" t="s">
        <v>70</v>
      </c>
      <c r="H4" s="33" t="s">
        <v>71</v>
      </c>
      <c r="I4" s="33" t="s">
        <v>55</v>
      </c>
      <c r="J4" s="33" t="s">
        <v>72</v>
      </c>
    </row>
    <row r="5" customFormat="false" ht="15" hidden="false" customHeight="false" outlineLevel="0" collapsed="false">
      <c r="B5" s="34" t="s">
        <v>73</v>
      </c>
      <c r="C5" s="34" t="s">
        <v>74</v>
      </c>
      <c r="D5" s="13" t="n">
        <v>14500</v>
      </c>
      <c r="E5" s="15" t="n">
        <f aca="false">Forecast!$C$6-38</f>
        <v>46248</v>
      </c>
      <c r="F5" s="35" t="n">
        <v>30</v>
      </c>
      <c r="G5" s="35" t="n">
        <v>10</v>
      </c>
      <c r="H5" s="36" t="n">
        <f aca="false">IF(OR(D5="",E5=""),"",E5+F5+G5)</f>
        <v>46288</v>
      </c>
      <c r="I5" s="34" t="s">
        <v>75</v>
      </c>
      <c r="J5" s="37" t="str">
        <f aca="false">IF(H5="","",IF(I5="Paid","Already paid",IF(H5&lt;Forecast!$C$6,"OVERDUE - not counted",IF(H5&gt;Forecast!$N$24,"After week 12","Week "&amp;(INT((H5-Forecast!$C$6)/7)+1)))))</f>
        <v>Week 1</v>
      </c>
    </row>
    <row r="6" customFormat="false" ht="15" hidden="false" customHeight="false" outlineLevel="0" collapsed="false">
      <c r="B6" s="34" t="s">
        <v>76</v>
      </c>
      <c r="C6" s="34" t="s">
        <v>77</v>
      </c>
      <c r="D6" s="13" t="n">
        <v>9000</v>
      </c>
      <c r="E6" s="15" t="n">
        <f aca="false">Forecast!$C$6-4</f>
        <v>46282</v>
      </c>
      <c r="F6" s="35" t="n">
        <v>14</v>
      </c>
      <c r="G6" s="35" t="n">
        <v>0</v>
      </c>
      <c r="H6" s="36" t="n">
        <f aca="false">IF(OR(D6="",E6=""),"",E6+F6+G6)</f>
        <v>46296</v>
      </c>
      <c r="I6" s="34" t="s">
        <v>75</v>
      </c>
      <c r="J6" s="37" t="str">
        <f aca="false">IF(H6="","",IF(I6="Paid","Already paid",IF(H6&lt;Forecast!$C$6,"OVERDUE - not counted",IF(H6&gt;Forecast!$N$24,"After week 12","Week "&amp;(INT((H6-Forecast!$C$6)/7)+1)))))</f>
        <v>Week 2</v>
      </c>
    </row>
    <row r="7" customFormat="false" ht="15" hidden="false" customHeight="false" outlineLevel="0" collapsed="false">
      <c r="B7" s="34" t="s">
        <v>78</v>
      </c>
      <c r="C7" s="34" t="s">
        <v>79</v>
      </c>
      <c r="D7" s="13" t="n">
        <v>4800</v>
      </c>
      <c r="E7" s="15" t="n">
        <f aca="false">Forecast!$C$6-2</f>
        <v>46284</v>
      </c>
      <c r="F7" s="35" t="n">
        <v>14</v>
      </c>
      <c r="G7" s="35" t="n">
        <v>3</v>
      </c>
      <c r="H7" s="36" t="n">
        <f aca="false">IF(OR(D7="",E7=""),"",E7+F7+G7)</f>
        <v>46301</v>
      </c>
      <c r="I7" s="34" t="s">
        <v>75</v>
      </c>
      <c r="J7" s="37" t="str">
        <f aca="false">IF(H7="","",IF(I7="Paid","Already paid",IF(H7&lt;Forecast!$C$6,"OVERDUE - not counted",IF(H7&gt;Forecast!$N$24,"After week 12","Week "&amp;(INT((H7-Forecast!$C$6)/7)+1)))))</f>
        <v>Week 3</v>
      </c>
    </row>
    <row r="8" customFormat="false" ht="15" hidden="false" customHeight="false" outlineLevel="0" collapsed="false">
      <c r="B8" s="34" t="s">
        <v>80</v>
      </c>
      <c r="C8" s="34" t="s">
        <v>81</v>
      </c>
      <c r="D8" s="13" t="n">
        <v>6200</v>
      </c>
      <c r="E8" s="15" t="n">
        <f aca="false">Forecast!$C$6-30</f>
        <v>46256</v>
      </c>
      <c r="F8" s="35" t="n">
        <v>45</v>
      </c>
      <c r="G8" s="35" t="n">
        <v>21</v>
      </c>
      <c r="H8" s="36" t="n">
        <f aca="false">IF(OR(D8="",E8=""),"",E8+F8+G8)</f>
        <v>46322</v>
      </c>
      <c r="I8" s="34" t="s">
        <v>75</v>
      </c>
      <c r="J8" s="37" t="str">
        <f aca="false">IF(H8="","",IF(I8="Paid","Already paid",IF(H8&lt;Forecast!$C$6,"OVERDUE - not counted",IF(H8&gt;Forecast!$N$24,"After week 12","Week "&amp;(INT((H8-Forecast!$C$6)/7)+1)))))</f>
        <v>Week 6</v>
      </c>
    </row>
    <row r="9" customFormat="false" ht="15" hidden="false" customHeight="false" outlineLevel="0" collapsed="false">
      <c r="B9" s="34" t="s">
        <v>76</v>
      </c>
      <c r="C9" s="34" t="s">
        <v>82</v>
      </c>
      <c r="D9" s="13" t="n">
        <v>12000</v>
      </c>
      <c r="E9" s="15" t="n">
        <f aca="false">Forecast!$C$6+30</f>
        <v>46316</v>
      </c>
      <c r="F9" s="35" t="n">
        <v>14</v>
      </c>
      <c r="G9" s="35" t="n">
        <v>7</v>
      </c>
      <c r="H9" s="36" t="n">
        <f aca="false">IF(OR(D9="",E9=""),"",E9+F9+G9)</f>
        <v>46337</v>
      </c>
      <c r="I9" s="34" t="s">
        <v>75</v>
      </c>
      <c r="J9" s="37" t="str">
        <f aca="false">IF(H9="","",IF(I9="Paid","Already paid",IF(H9&lt;Forecast!$C$6,"OVERDUE - not counted",IF(H9&gt;Forecast!$N$24,"After week 12","Week "&amp;(INT((H9-Forecast!$C$6)/7)+1)))))</f>
        <v>Week 8</v>
      </c>
    </row>
    <row r="10" customFormat="false" ht="15" hidden="false" customHeight="false" outlineLevel="0" collapsed="false">
      <c r="B10" s="34" t="s">
        <v>80</v>
      </c>
      <c r="C10" s="34" t="s">
        <v>83</v>
      </c>
      <c r="D10" s="13" t="n">
        <v>5800</v>
      </c>
      <c r="E10" s="15" t="n">
        <f aca="false">Forecast!$C$6-5</f>
        <v>46281</v>
      </c>
      <c r="F10" s="35" t="n">
        <v>45</v>
      </c>
      <c r="G10" s="35" t="n">
        <v>21</v>
      </c>
      <c r="H10" s="36" t="n">
        <f aca="false">IF(OR(D10="",E10=""),"",E10+F10+G10)</f>
        <v>46347</v>
      </c>
      <c r="I10" s="34" t="s">
        <v>75</v>
      </c>
      <c r="J10" s="37" t="str">
        <f aca="false">IF(H10="","",IF(I10="Paid","Already paid",IF(H10&lt;Forecast!$C$6,"OVERDUE - not counted",IF(H10&gt;Forecast!$N$24,"After week 12","Week "&amp;(INT((H10-Forecast!$C$6)/7)+1)))))</f>
        <v>Week 9</v>
      </c>
    </row>
    <row r="11" customFormat="false" ht="15" hidden="false" customHeight="false" outlineLevel="0" collapsed="false">
      <c r="B11" s="34" t="s">
        <v>84</v>
      </c>
      <c r="C11" s="34" t="s">
        <v>85</v>
      </c>
      <c r="D11" s="13" t="n">
        <v>18000</v>
      </c>
      <c r="E11" s="15" t="n">
        <f aca="false">Forecast!$C$6+35</f>
        <v>46321</v>
      </c>
      <c r="F11" s="35" t="n">
        <v>30</v>
      </c>
      <c r="G11" s="35" t="n">
        <v>0</v>
      </c>
      <c r="H11" s="36" t="n">
        <f aca="false">IF(OR(D11="",E11=""),"",E11+F11+G11)</f>
        <v>46351</v>
      </c>
      <c r="I11" s="34" t="s">
        <v>75</v>
      </c>
      <c r="J11" s="37" t="str">
        <f aca="false">IF(H11="","",IF(I11="Paid","Already paid",IF(H11&lt;Forecast!$C$6,"OVERDUE - not counted",IF(H11&gt;Forecast!$N$24,"After week 12","Week "&amp;(INT((H11-Forecast!$C$6)/7)+1)))))</f>
        <v>Week 10</v>
      </c>
    </row>
    <row r="12" customFormat="false" ht="15" hidden="false" customHeight="false" outlineLevel="0" collapsed="false">
      <c r="B12" s="34" t="s">
        <v>73</v>
      </c>
      <c r="C12" s="34" t="s">
        <v>86</v>
      </c>
      <c r="D12" s="13" t="n">
        <v>8000</v>
      </c>
      <c r="E12" s="15" t="n">
        <f aca="false">Forecast!$C$6+60</f>
        <v>46346</v>
      </c>
      <c r="F12" s="35" t="n">
        <v>7</v>
      </c>
      <c r="G12" s="35" t="n">
        <v>0</v>
      </c>
      <c r="H12" s="36" t="n">
        <f aca="false">IF(OR(D12="",E12=""),"",E12+F12+G12)</f>
        <v>46353</v>
      </c>
      <c r="I12" s="34" t="s">
        <v>75</v>
      </c>
      <c r="J12" s="37" t="str">
        <f aca="false">IF(H12="","",IF(I12="Paid","Already paid",IF(H12&lt;Forecast!$C$6,"OVERDUE - not counted",IF(H12&gt;Forecast!$N$24,"After week 12","Week "&amp;(INT((H12-Forecast!$C$6)/7)+1)))))</f>
        <v>Week 10</v>
      </c>
    </row>
    <row r="13" customFormat="false" ht="15" hidden="false" customHeight="false" outlineLevel="0" collapsed="false">
      <c r="B13" s="34" t="s">
        <v>84</v>
      </c>
      <c r="C13" s="34" t="s">
        <v>87</v>
      </c>
      <c r="D13" s="13" t="n">
        <v>18000</v>
      </c>
      <c r="E13" s="15" t="n">
        <f aca="false">Forecast!$C$6+62</f>
        <v>46348</v>
      </c>
      <c r="F13" s="35" t="n">
        <v>14</v>
      </c>
      <c r="G13" s="35" t="n">
        <v>0</v>
      </c>
      <c r="H13" s="36" t="n">
        <f aca="false">IF(OR(D13="",E13=""),"",E13+F13+G13)</f>
        <v>46362</v>
      </c>
      <c r="I13" s="34" t="s">
        <v>75</v>
      </c>
      <c r="J13" s="37" t="str">
        <f aca="false">IF(H13="","",IF(I13="Paid","Already paid",IF(H13&lt;Forecast!$C$6,"OVERDUE - not counted",IF(H13&gt;Forecast!$N$24,"After week 12","Week "&amp;(INT((H13-Forecast!$C$6)/7)+1)))))</f>
        <v>Week 11</v>
      </c>
    </row>
    <row r="14" customFormat="false" ht="15" hidden="false" customHeight="false" outlineLevel="0" collapsed="false">
      <c r="B14" s="34" t="s">
        <v>76</v>
      </c>
      <c r="C14" s="34" t="s">
        <v>88</v>
      </c>
      <c r="D14" s="13" t="n">
        <v>12000</v>
      </c>
      <c r="E14" s="15" t="n">
        <f aca="false">Forecast!$C$6+70</f>
        <v>46356</v>
      </c>
      <c r="F14" s="35" t="n">
        <v>7</v>
      </c>
      <c r="G14" s="35" t="n">
        <v>3</v>
      </c>
      <c r="H14" s="36" t="n">
        <f aca="false">IF(OR(D14="",E14=""),"",E14+F14+G14)</f>
        <v>46366</v>
      </c>
      <c r="I14" s="34" t="s">
        <v>75</v>
      </c>
      <c r="J14" s="37" t="str">
        <f aca="false">IF(H14="","",IF(I14="Paid","Already paid",IF(H14&lt;Forecast!$C$6,"OVERDUE - not counted",IF(H14&gt;Forecast!$N$24,"After week 12","Week "&amp;(INT((H14-Forecast!$C$6)/7)+1)))))</f>
        <v>Week 12</v>
      </c>
    </row>
    <row r="15" customFormat="false" ht="15" hidden="false" customHeight="false" outlineLevel="0" collapsed="false">
      <c r="B15" s="34" t="s">
        <v>89</v>
      </c>
      <c r="C15" s="34" t="s">
        <v>90</v>
      </c>
      <c r="D15" s="13" t="n">
        <v>7400</v>
      </c>
      <c r="E15" s="15" t="n">
        <f aca="false">Forecast!$C$6-75</f>
        <v>46211</v>
      </c>
      <c r="F15" s="35" t="n">
        <v>30</v>
      </c>
      <c r="G15" s="35" t="n">
        <v>0</v>
      </c>
      <c r="H15" s="36" t="n">
        <f aca="false">IF(OR(D15="",E15=""),"",E15+F15+G15)</f>
        <v>46241</v>
      </c>
      <c r="I15" s="34" t="s">
        <v>75</v>
      </c>
      <c r="J15" s="37" t="str">
        <f aca="false">IF(H15="","",IF(I15="Paid","Already paid",IF(H15&lt;Forecast!$C$6,"OVERDUE - not counted",IF(H15&gt;Forecast!$N$24,"After week 12","Week "&amp;(INT((H15-Forecast!$C$6)/7)+1)))))</f>
        <v>OVERDUE - not counted</v>
      </c>
    </row>
    <row r="16" customFormat="false" ht="15" hidden="false" customHeight="false" outlineLevel="0" collapsed="false">
      <c r="B16" s="34"/>
      <c r="C16" s="34"/>
      <c r="D16" s="13"/>
      <c r="E16" s="15"/>
      <c r="F16" s="35"/>
      <c r="G16" s="35"/>
      <c r="H16" s="36" t="str">
        <f aca="false">IF(OR(D16="",E16=""),"",E16+F16+G16)</f>
        <v/>
      </c>
      <c r="I16" s="34"/>
      <c r="J16" s="37" t="str">
        <f aca="false">IF(H16="","",IF(I16="Paid","Already paid",IF(H16&lt;Forecast!$C$6,"OVERDUE - not counted",IF(H16&gt;Forecast!$N$24,"After week 12","Week "&amp;(INT((H16-Forecast!$C$6)/7)+1)))))</f>
        <v/>
      </c>
    </row>
    <row r="17" customFormat="false" ht="15" hidden="false" customHeight="false" outlineLevel="0" collapsed="false">
      <c r="B17" s="34"/>
      <c r="C17" s="34"/>
      <c r="D17" s="13"/>
      <c r="E17" s="15"/>
      <c r="F17" s="35"/>
      <c r="G17" s="35"/>
      <c r="H17" s="36" t="str">
        <f aca="false">IF(OR(D17="",E17=""),"",E17+F17+G17)</f>
        <v/>
      </c>
      <c r="I17" s="34"/>
      <c r="J17" s="37" t="str">
        <f aca="false">IF(H17="","",IF(I17="Paid","Already paid",IF(H17&lt;Forecast!$C$6,"OVERDUE - not counted",IF(H17&gt;Forecast!$N$24,"After week 12","Week "&amp;(INT((H17-Forecast!$C$6)/7)+1)))))</f>
        <v/>
      </c>
    </row>
    <row r="18" customFormat="false" ht="15" hidden="false" customHeight="false" outlineLevel="0" collapsed="false">
      <c r="B18" s="34"/>
      <c r="C18" s="34"/>
      <c r="D18" s="13"/>
      <c r="E18" s="15"/>
      <c r="F18" s="35"/>
      <c r="G18" s="35"/>
      <c r="H18" s="36" t="str">
        <f aca="false">IF(OR(D18="",E18=""),"",E18+F18+G18)</f>
        <v/>
      </c>
      <c r="I18" s="34"/>
      <c r="J18" s="37" t="str">
        <f aca="false">IF(H18="","",IF(I18="Paid","Already paid",IF(H18&lt;Forecast!$C$6,"OVERDUE - not counted",IF(H18&gt;Forecast!$N$24,"After week 12","Week "&amp;(INT((H18-Forecast!$C$6)/7)+1)))))</f>
        <v/>
      </c>
    </row>
    <row r="19" customFormat="false" ht="15" hidden="false" customHeight="false" outlineLevel="0" collapsed="false">
      <c r="B19" s="34"/>
      <c r="C19" s="34"/>
      <c r="D19" s="13"/>
      <c r="E19" s="15"/>
      <c r="F19" s="35"/>
      <c r="G19" s="35"/>
      <c r="H19" s="36" t="str">
        <f aca="false">IF(OR(D19="",E19=""),"",E19+F19+G19)</f>
        <v/>
      </c>
      <c r="I19" s="34"/>
      <c r="J19" s="37" t="str">
        <f aca="false">IF(H19="","",IF(I19="Paid","Already paid",IF(H19&lt;Forecast!$C$6,"OVERDUE - not counted",IF(H19&gt;Forecast!$N$24,"After week 12","Week "&amp;(INT((H19-Forecast!$C$6)/7)+1)))))</f>
        <v/>
      </c>
    </row>
    <row r="20" customFormat="false" ht="15" hidden="false" customHeight="false" outlineLevel="0" collapsed="false">
      <c r="B20" s="34"/>
      <c r="C20" s="34"/>
      <c r="D20" s="13"/>
      <c r="E20" s="15"/>
      <c r="F20" s="35"/>
      <c r="G20" s="35"/>
      <c r="H20" s="36" t="str">
        <f aca="false">IF(OR(D20="",E20=""),"",E20+F20+G20)</f>
        <v/>
      </c>
      <c r="I20" s="34"/>
      <c r="J20" s="37" t="str">
        <f aca="false">IF(H20="","",IF(I20="Paid","Already paid",IF(H20&lt;Forecast!$C$6,"OVERDUE - not counted",IF(H20&gt;Forecast!$N$24,"After week 12","Week "&amp;(INT((H20-Forecast!$C$6)/7)+1)))))</f>
        <v/>
      </c>
    </row>
    <row r="21" customFormat="false" ht="15" hidden="false" customHeight="false" outlineLevel="0" collapsed="false">
      <c r="B21" s="34"/>
      <c r="C21" s="34"/>
      <c r="D21" s="13"/>
      <c r="E21" s="15"/>
      <c r="F21" s="35"/>
      <c r="G21" s="35"/>
      <c r="H21" s="36" t="str">
        <f aca="false">IF(OR(D21="",E21=""),"",E21+F21+G21)</f>
        <v/>
      </c>
      <c r="I21" s="34"/>
      <c r="J21" s="37" t="str">
        <f aca="false">IF(H21="","",IF(I21="Paid","Already paid",IF(H21&lt;Forecast!$C$6,"OVERDUE - not counted",IF(H21&gt;Forecast!$N$24,"After week 12","Week "&amp;(INT((H21-Forecast!$C$6)/7)+1)))))</f>
        <v/>
      </c>
    </row>
    <row r="22" customFormat="false" ht="15" hidden="false" customHeight="false" outlineLevel="0" collapsed="false">
      <c r="B22" s="34"/>
      <c r="C22" s="34"/>
      <c r="D22" s="13"/>
      <c r="E22" s="15"/>
      <c r="F22" s="35"/>
      <c r="G22" s="35"/>
      <c r="H22" s="36" t="str">
        <f aca="false">IF(OR(D22="",E22=""),"",E22+F22+G22)</f>
        <v/>
      </c>
      <c r="I22" s="34"/>
      <c r="J22" s="37" t="str">
        <f aca="false">IF(H22="","",IF(I22="Paid","Already paid",IF(H22&lt;Forecast!$C$6,"OVERDUE - not counted",IF(H22&gt;Forecast!$N$24,"After week 12","Week "&amp;(INT((H22-Forecast!$C$6)/7)+1)))))</f>
        <v/>
      </c>
    </row>
    <row r="23" customFormat="false" ht="15" hidden="false" customHeight="false" outlineLevel="0" collapsed="false">
      <c r="B23" s="34"/>
      <c r="C23" s="34"/>
      <c r="D23" s="13"/>
      <c r="E23" s="15"/>
      <c r="F23" s="35"/>
      <c r="G23" s="35"/>
      <c r="H23" s="36" t="str">
        <f aca="false">IF(OR(D23="",E23=""),"",E23+F23+G23)</f>
        <v/>
      </c>
      <c r="I23" s="34"/>
      <c r="J23" s="37" t="str">
        <f aca="false">IF(H23="","",IF(I23="Paid","Already paid",IF(H23&lt;Forecast!$C$6,"OVERDUE - not counted",IF(H23&gt;Forecast!$N$24,"After week 12","Week "&amp;(INT((H23-Forecast!$C$6)/7)+1)))))</f>
        <v/>
      </c>
    </row>
    <row r="24" customFormat="false" ht="15" hidden="false" customHeight="false" outlineLevel="0" collapsed="false">
      <c r="B24" s="34"/>
      <c r="C24" s="34"/>
      <c r="D24" s="13"/>
      <c r="E24" s="15"/>
      <c r="F24" s="35"/>
      <c r="G24" s="35"/>
      <c r="H24" s="36" t="str">
        <f aca="false">IF(OR(D24="",E24=""),"",E24+F24+G24)</f>
        <v/>
      </c>
      <c r="I24" s="34"/>
      <c r="J24" s="37" t="str">
        <f aca="false">IF(H24="","",IF(I24="Paid","Already paid",IF(H24&lt;Forecast!$C$6,"OVERDUE - not counted",IF(H24&gt;Forecast!$N$24,"After week 12","Week "&amp;(INT((H24-Forecast!$C$6)/7)+1)))))</f>
        <v/>
      </c>
    </row>
    <row r="25" customFormat="false" ht="15" hidden="false" customHeight="false" outlineLevel="0" collapsed="false">
      <c r="B25" s="34"/>
      <c r="C25" s="34"/>
      <c r="D25" s="13"/>
      <c r="E25" s="15"/>
      <c r="F25" s="35"/>
      <c r="G25" s="35"/>
      <c r="H25" s="36" t="str">
        <f aca="false">IF(OR(D25="",E25=""),"",E25+F25+G25)</f>
        <v/>
      </c>
      <c r="I25" s="34"/>
      <c r="J25" s="37" t="str">
        <f aca="false">IF(H25="","",IF(I25="Paid","Already paid",IF(H25&lt;Forecast!$C$6,"OVERDUE - not counted",IF(H25&gt;Forecast!$N$24,"After week 12","Week "&amp;(INT((H25-Forecast!$C$6)/7)+1)))))</f>
        <v/>
      </c>
    </row>
    <row r="26" customFormat="false" ht="15" hidden="false" customHeight="false" outlineLevel="0" collapsed="false">
      <c r="B26" s="34"/>
      <c r="C26" s="34"/>
      <c r="D26" s="13"/>
      <c r="E26" s="15"/>
      <c r="F26" s="35"/>
      <c r="G26" s="35"/>
      <c r="H26" s="36" t="str">
        <f aca="false">IF(OR(D26="",E26=""),"",E26+F26+G26)</f>
        <v/>
      </c>
      <c r="I26" s="34"/>
      <c r="J26" s="37" t="str">
        <f aca="false">IF(H26="","",IF(I26="Paid","Already paid",IF(H26&lt;Forecast!$C$6,"OVERDUE - not counted",IF(H26&gt;Forecast!$N$24,"After week 12","Week "&amp;(INT((H26-Forecast!$C$6)/7)+1)))))</f>
        <v/>
      </c>
    </row>
    <row r="27" customFormat="false" ht="15" hidden="false" customHeight="false" outlineLevel="0" collapsed="false">
      <c r="B27" s="34"/>
      <c r="C27" s="34"/>
      <c r="D27" s="13"/>
      <c r="E27" s="15"/>
      <c r="F27" s="35"/>
      <c r="G27" s="35"/>
      <c r="H27" s="36" t="str">
        <f aca="false">IF(OR(D27="",E27=""),"",E27+F27+G27)</f>
        <v/>
      </c>
      <c r="I27" s="34"/>
      <c r="J27" s="37" t="str">
        <f aca="false">IF(H27="","",IF(I27="Paid","Already paid",IF(H27&lt;Forecast!$C$6,"OVERDUE - not counted",IF(H27&gt;Forecast!$N$24,"After week 12","Week "&amp;(INT((H27-Forecast!$C$6)/7)+1)))))</f>
        <v/>
      </c>
    </row>
    <row r="28" customFormat="false" ht="15" hidden="false" customHeight="false" outlineLevel="0" collapsed="false">
      <c r="B28" s="34"/>
      <c r="C28" s="34"/>
      <c r="D28" s="13"/>
      <c r="E28" s="15"/>
      <c r="F28" s="35"/>
      <c r="G28" s="35"/>
      <c r="H28" s="36" t="str">
        <f aca="false">IF(OR(D28="",E28=""),"",E28+F28+G28)</f>
        <v/>
      </c>
      <c r="I28" s="34"/>
      <c r="J28" s="37" t="str">
        <f aca="false">IF(H28="","",IF(I28="Paid","Already paid",IF(H28&lt;Forecast!$C$6,"OVERDUE - not counted",IF(H28&gt;Forecast!$N$24,"After week 12","Week "&amp;(INT((H28-Forecast!$C$6)/7)+1)))))</f>
        <v/>
      </c>
    </row>
    <row r="29" customFormat="false" ht="15" hidden="false" customHeight="false" outlineLevel="0" collapsed="false">
      <c r="B29" s="34"/>
      <c r="C29" s="34"/>
      <c r="D29" s="13"/>
      <c r="E29" s="15"/>
      <c r="F29" s="35"/>
      <c r="G29" s="35"/>
      <c r="H29" s="36" t="str">
        <f aca="false">IF(OR(D29="",E29=""),"",E29+F29+G29)</f>
        <v/>
      </c>
      <c r="I29" s="34"/>
      <c r="J29" s="37" t="str">
        <f aca="false">IF(H29="","",IF(I29="Paid","Already paid",IF(H29&lt;Forecast!$C$6,"OVERDUE - not counted",IF(H29&gt;Forecast!$N$24,"After week 12","Week "&amp;(INT((H29-Forecast!$C$6)/7)+1)))))</f>
        <v/>
      </c>
    </row>
    <row r="30" customFormat="false" ht="15" hidden="false" customHeight="false" outlineLevel="0" collapsed="false">
      <c r="B30" s="34"/>
      <c r="C30" s="34"/>
      <c r="D30" s="13"/>
      <c r="E30" s="15"/>
      <c r="F30" s="35"/>
      <c r="G30" s="35"/>
      <c r="H30" s="36" t="str">
        <f aca="false">IF(OR(D30="",E30=""),"",E30+F30+G30)</f>
        <v/>
      </c>
      <c r="I30" s="34"/>
      <c r="J30" s="37" t="str">
        <f aca="false">IF(H30="","",IF(I30="Paid","Already paid",IF(H30&lt;Forecast!$C$6,"OVERDUE - not counted",IF(H30&gt;Forecast!$N$24,"After week 12","Week "&amp;(INT((H30-Forecast!$C$6)/7)+1)))))</f>
        <v/>
      </c>
    </row>
    <row r="31" customFormat="false" ht="15" hidden="false" customHeight="false" outlineLevel="0" collapsed="false">
      <c r="B31" s="34"/>
      <c r="C31" s="34"/>
      <c r="D31" s="13"/>
      <c r="E31" s="15"/>
      <c r="F31" s="35"/>
      <c r="G31" s="35"/>
      <c r="H31" s="36" t="str">
        <f aca="false">IF(OR(D31="",E31=""),"",E31+F31+G31)</f>
        <v/>
      </c>
      <c r="I31" s="34"/>
      <c r="J31" s="37" t="str">
        <f aca="false">IF(H31="","",IF(I31="Paid","Already paid",IF(H31&lt;Forecast!$C$6,"OVERDUE - not counted",IF(H31&gt;Forecast!$N$24,"After week 12","Week "&amp;(INT((H31-Forecast!$C$6)/7)+1)))))</f>
        <v/>
      </c>
    </row>
    <row r="32" customFormat="false" ht="15" hidden="false" customHeight="false" outlineLevel="0" collapsed="false">
      <c r="B32" s="34"/>
      <c r="C32" s="34"/>
      <c r="D32" s="13"/>
      <c r="E32" s="15"/>
      <c r="F32" s="35"/>
      <c r="G32" s="35"/>
      <c r="H32" s="36" t="str">
        <f aca="false">IF(OR(D32="",E32=""),"",E32+F32+G32)</f>
        <v/>
      </c>
      <c r="I32" s="34"/>
      <c r="J32" s="37" t="str">
        <f aca="false">IF(H32="","",IF(I32="Paid","Already paid",IF(H32&lt;Forecast!$C$6,"OVERDUE - not counted",IF(H32&gt;Forecast!$N$24,"After week 12","Week "&amp;(INT((H32-Forecast!$C$6)/7)+1)))))</f>
        <v/>
      </c>
    </row>
    <row r="33" customFormat="false" ht="15" hidden="false" customHeight="false" outlineLevel="0" collapsed="false">
      <c r="B33" s="34"/>
      <c r="C33" s="34"/>
      <c r="D33" s="13"/>
      <c r="E33" s="15"/>
      <c r="F33" s="35"/>
      <c r="G33" s="35"/>
      <c r="H33" s="36" t="str">
        <f aca="false">IF(OR(D33="",E33=""),"",E33+F33+G33)</f>
        <v/>
      </c>
      <c r="I33" s="34"/>
      <c r="J33" s="37" t="str">
        <f aca="false">IF(H33="","",IF(I33="Paid","Already paid",IF(H33&lt;Forecast!$C$6,"OVERDUE - not counted",IF(H33&gt;Forecast!$N$24,"After week 12","Week "&amp;(INT((H33-Forecast!$C$6)/7)+1)))))</f>
        <v/>
      </c>
    </row>
    <row r="34" customFormat="false" ht="15" hidden="false" customHeight="false" outlineLevel="0" collapsed="false">
      <c r="B34" s="34"/>
      <c r="C34" s="34"/>
      <c r="D34" s="13"/>
      <c r="E34" s="15"/>
      <c r="F34" s="35"/>
      <c r="G34" s="35"/>
      <c r="H34" s="36" t="str">
        <f aca="false">IF(OR(D34="",E34=""),"",E34+F34+G34)</f>
        <v/>
      </c>
      <c r="I34" s="34"/>
      <c r="J34" s="37" t="str">
        <f aca="false">IF(H34="","",IF(I34="Paid","Already paid",IF(H34&lt;Forecast!$C$6,"OVERDUE - not counted",IF(H34&gt;Forecast!$N$24,"After week 12","Week "&amp;(INT((H34-Forecast!$C$6)/7)+1)))))</f>
        <v/>
      </c>
    </row>
    <row r="36" customFormat="false" ht="15" hidden="false" customHeight="false" outlineLevel="0" collapsed="false">
      <c r="B36" s="17" t="s">
        <v>91</v>
      </c>
    </row>
  </sheetData>
  <conditionalFormatting sqref="J5:J34">
    <cfRule type="expression" priority="2" aboveAverage="0" equalAverage="0" bottom="0" percent="0" rank="0" text="" dxfId="4">
      <formula>LEFT($J5,7)="OVERDUE"</formula>
    </cfRule>
  </conditionalFormatting>
  <dataValidations count="1">
    <dataValidation allowBlank="true" errorStyle="stop" operator="between" showDropDown="false" showErrorMessage="false" showInputMessage="false" sqref="I5:I34" type="list">
      <formula1>"Expected,Paid"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25.5" hidden="false" customHeight="true" outlineLevel="0" collapsed="false">
      <c r="B1" s="9" t="s">
        <v>92</v>
      </c>
    </row>
    <row r="2" customFormat="false" ht="15" hidden="false" customHeight="false" outlineLevel="0" collapsed="false">
      <c r="B2" s="10" t="s">
        <v>93</v>
      </c>
    </row>
    <row r="4" customFormat="false" ht="15" hidden="false" customHeight="false" outlineLevel="0" collapsed="false">
      <c r="B4" s="11" t="s">
        <v>94</v>
      </c>
    </row>
    <row r="5" customFormat="false" ht="31.5" hidden="false" customHeight="true" outlineLevel="0" collapsed="false">
      <c r="B5" s="33" t="s">
        <v>95</v>
      </c>
      <c r="C5" s="33" t="s">
        <v>96</v>
      </c>
    </row>
    <row r="6" customFormat="false" ht="15" hidden="false" customHeight="false" outlineLevel="0" collapsed="false">
      <c r="B6" s="34" t="s">
        <v>97</v>
      </c>
      <c r="C6" s="13" t="n">
        <v>4200</v>
      </c>
    </row>
    <row r="7" customFormat="false" ht="15" hidden="false" customHeight="false" outlineLevel="0" collapsed="false">
      <c r="B7" s="34" t="s">
        <v>98</v>
      </c>
      <c r="C7" s="13" t="n">
        <v>350</v>
      </c>
    </row>
    <row r="8" customFormat="false" ht="15" hidden="false" customHeight="false" outlineLevel="0" collapsed="false">
      <c r="B8" s="34"/>
      <c r="C8" s="13"/>
    </row>
    <row r="9" customFormat="false" ht="15" hidden="false" customHeight="false" outlineLevel="0" collapsed="false">
      <c r="B9" s="34"/>
      <c r="C9" s="13"/>
    </row>
    <row r="10" customFormat="false" ht="15" hidden="false" customHeight="false" outlineLevel="0" collapsed="false">
      <c r="B10" s="34"/>
      <c r="C10" s="13"/>
    </row>
    <row r="11" customFormat="false" ht="15" hidden="false" customHeight="false" outlineLevel="0" collapsed="false">
      <c r="B11" s="34"/>
      <c r="C11" s="13"/>
    </row>
    <row r="12" customFormat="false" ht="15" hidden="false" customHeight="false" outlineLevel="0" collapsed="false">
      <c r="B12" s="34"/>
      <c r="C12" s="13"/>
    </row>
    <row r="13" customFormat="false" ht="15" hidden="false" customHeight="false" outlineLevel="0" collapsed="false">
      <c r="B13" s="34"/>
      <c r="C13" s="13"/>
    </row>
    <row r="14" customFormat="false" ht="15" hidden="false" customHeight="false" outlineLevel="0" collapsed="false">
      <c r="B14" s="34"/>
      <c r="C14" s="13"/>
    </row>
    <row r="15" customFormat="false" ht="15" hidden="false" customHeight="false" outlineLevel="0" collapsed="false">
      <c r="B15" s="34"/>
      <c r="C15" s="13"/>
    </row>
    <row r="16" customFormat="false" ht="15" hidden="false" customHeight="false" outlineLevel="0" collapsed="false">
      <c r="B16" s="38" t="s">
        <v>99</v>
      </c>
      <c r="C16" s="39" t="n">
        <f aca="false">SUM(C6:C15)</f>
        <v>4550</v>
      </c>
    </row>
    <row r="18" customFormat="false" ht="15" hidden="false" customHeight="false" outlineLevel="0" collapsed="false">
      <c r="B18" s="11" t="s">
        <v>100</v>
      </c>
    </row>
    <row r="19" customFormat="false" ht="31.5" hidden="false" customHeight="true" outlineLevel="0" collapsed="false">
      <c r="B19" s="33" t="s">
        <v>95</v>
      </c>
      <c r="C19" s="33" t="s">
        <v>67</v>
      </c>
      <c r="D19" s="33" t="s">
        <v>101</v>
      </c>
    </row>
    <row r="20" customFormat="false" ht="15" hidden="false" customHeight="false" outlineLevel="0" collapsed="false">
      <c r="B20" s="34" t="s">
        <v>102</v>
      </c>
      <c r="C20" s="13" t="n">
        <v>2400</v>
      </c>
      <c r="D20" s="35" t="n">
        <v>1</v>
      </c>
    </row>
    <row r="21" customFormat="false" ht="15" hidden="false" customHeight="false" outlineLevel="0" collapsed="false">
      <c r="B21" s="34" t="s">
        <v>103</v>
      </c>
      <c r="C21" s="13" t="n">
        <v>1150</v>
      </c>
      <c r="D21" s="35" t="n">
        <v>12</v>
      </c>
    </row>
    <row r="22" customFormat="false" ht="15" hidden="false" customHeight="false" outlineLevel="0" collapsed="false">
      <c r="B22" s="34" t="s">
        <v>104</v>
      </c>
      <c r="C22" s="13" t="n">
        <v>380</v>
      </c>
      <c r="D22" s="35" t="n">
        <v>20</v>
      </c>
    </row>
    <row r="23" customFormat="false" ht="15" hidden="false" customHeight="false" outlineLevel="0" collapsed="false">
      <c r="B23" s="34" t="s">
        <v>105</v>
      </c>
      <c r="C23" s="13" t="n">
        <v>620</v>
      </c>
      <c r="D23" s="35" t="n">
        <v>25</v>
      </c>
    </row>
    <row r="24" customFormat="false" ht="15" hidden="false" customHeight="false" outlineLevel="0" collapsed="false">
      <c r="B24" s="34"/>
      <c r="C24" s="13"/>
      <c r="D24" s="35"/>
    </row>
    <row r="25" customFormat="false" ht="15" hidden="false" customHeight="false" outlineLevel="0" collapsed="false">
      <c r="B25" s="34"/>
      <c r="C25" s="13"/>
      <c r="D25" s="35"/>
    </row>
    <row r="26" customFormat="false" ht="15" hidden="false" customHeight="false" outlineLevel="0" collapsed="false">
      <c r="B26" s="34"/>
      <c r="C26" s="13"/>
      <c r="D26" s="35"/>
    </row>
    <row r="27" customFormat="false" ht="15" hidden="false" customHeight="false" outlineLevel="0" collapsed="false">
      <c r="B27" s="34"/>
      <c r="C27" s="13"/>
      <c r="D27" s="35"/>
    </row>
    <row r="28" customFormat="false" ht="15" hidden="false" customHeight="false" outlineLevel="0" collapsed="false">
      <c r="B28" s="34"/>
      <c r="C28" s="13"/>
      <c r="D28" s="35"/>
    </row>
    <row r="29" customFormat="false" ht="15" hidden="false" customHeight="false" outlineLevel="0" collapsed="false">
      <c r="B29" s="34"/>
      <c r="C29" s="13"/>
      <c r="D29" s="35"/>
    </row>
    <row r="30" customFormat="false" ht="15" hidden="false" customHeight="false" outlineLevel="0" collapsed="false">
      <c r="B30" s="34"/>
      <c r="C30" s="13"/>
      <c r="D30" s="35"/>
    </row>
    <row r="31" customFormat="false" ht="15" hidden="false" customHeight="false" outlineLevel="0" collapsed="false">
      <c r="B31" s="34"/>
      <c r="C31" s="13"/>
      <c r="D31" s="35"/>
    </row>
    <row r="32" customFormat="false" ht="15" hidden="false" customHeight="false" outlineLevel="0" collapsed="false">
      <c r="B32" s="34"/>
      <c r="C32" s="13"/>
      <c r="D32" s="35"/>
    </row>
    <row r="33" customFormat="false" ht="15" hidden="false" customHeight="false" outlineLevel="0" collapsed="false">
      <c r="B33" s="34"/>
      <c r="C33" s="13"/>
      <c r="D33" s="35"/>
    </row>
    <row r="34" customFormat="false" ht="15" hidden="false" customHeight="false" outlineLevel="0" collapsed="false">
      <c r="B34" s="34"/>
      <c r="C34" s="13"/>
      <c r="D34" s="35"/>
    </row>
    <row r="36" customFormat="false" ht="15" hidden="false" customHeight="false" outlineLevel="0" collapsed="false">
      <c r="B36" s="11" t="s">
        <v>106</v>
      </c>
    </row>
    <row r="37" customFormat="false" ht="31.5" hidden="false" customHeight="true" outlineLevel="0" collapsed="false">
      <c r="B37" s="33" t="s">
        <v>95</v>
      </c>
      <c r="C37" s="33" t="s">
        <v>67</v>
      </c>
      <c r="D37" s="33" t="s">
        <v>107</v>
      </c>
    </row>
    <row r="38" customFormat="false" ht="15" hidden="false" customHeight="false" outlineLevel="0" collapsed="false">
      <c r="B38" s="34" t="s">
        <v>108</v>
      </c>
      <c r="C38" s="13" t="n">
        <v>7800</v>
      </c>
      <c r="D38" s="15" t="n">
        <f aca="false">Forecast!$C$6+3</f>
        <v>46289</v>
      </c>
    </row>
    <row r="39" customFormat="false" ht="15" hidden="false" customHeight="false" outlineLevel="0" collapsed="false">
      <c r="B39" s="34" t="s">
        <v>109</v>
      </c>
      <c r="C39" s="13" t="n">
        <v>11000</v>
      </c>
      <c r="D39" s="15" t="n">
        <f aca="false">Forecast!$C$6+22</f>
        <v>46308</v>
      </c>
    </row>
    <row r="40" customFormat="false" ht="15" hidden="false" customHeight="false" outlineLevel="0" collapsed="false">
      <c r="B40" s="34" t="s">
        <v>110</v>
      </c>
      <c r="C40" s="13" t="n">
        <v>1600</v>
      </c>
      <c r="D40" s="15" t="n">
        <f aca="false">Forecast!$C$6+31</f>
        <v>46317</v>
      </c>
    </row>
    <row r="41" customFormat="false" ht="15" hidden="false" customHeight="false" outlineLevel="0" collapsed="false">
      <c r="B41" s="34" t="s">
        <v>111</v>
      </c>
      <c r="C41" s="13" t="n">
        <v>5500</v>
      </c>
      <c r="D41" s="15" t="n">
        <f aca="false">Forecast!$C$6+38</f>
        <v>46324</v>
      </c>
    </row>
    <row r="42" customFormat="false" ht="15" hidden="false" customHeight="false" outlineLevel="0" collapsed="false">
      <c r="B42" s="34" t="s">
        <v>112</v>
      </c>
      <c r="C42" s="13" t="n">
        <v>5200</v>
      </c>
      <c r="D42" s="15" t="n">
        <f aca="false">Forecast!$C$6+64</f>
        <v>46350</v>
      </c>
    </row>
    <row r="43" customFormat="false" ht="15" hidden="false" customHeight="false" outlineLevel="0" collapsed="false">
      <c r="B43" s="34"/>
      <c r="C43" s="13"/>
      <c r="D43" s="15"/>
    </row>
    <row r="44" customFormat="false" ht="15" hidden="false" customHeight="false" outlineLevel="0" collapsed="false">
      <c r="B44" s="34"/>
      <c r="C44" s="13"/>
      <c r="D44" s="15"/>
    </row>
    <row r="45" customFormat="false" ht="15" hidden="false" customHeight="false" outlineLevel="0" collapsed="false">
      <c r="B45" s="34"/>
      <c r="C45" s="13"/>
      <c r="D45" s="15"/>
    </row>
    <row r="46" customFormat="false" ht="15" hidden="false" customHeight="false" outlineLevel="0" collapsed="false">
      <c r="B46" s="34"/>
      <c r="C46" s="13"/>
      <c r="D46" s="15"/>
    </row>
    <row r="47" customFormat="false" ht="15" hidden="false" customHeight="false" outlineLevel="0" collapsed="false">
      <c r="B47" s="34"/>
      <c r="C47" s="13"/>
      <c r="D47" s="15"/>
    </row>
    <row r="48" customFormat="false" ht="15" hidden="false" customHeight="false" outlineLevel="0" collapsed="false">
      <c r="B48" s="34"/>
      <c r="C48" s="13"/>
      <c r="D48" s="15"/>
    </row>
    <row r="49" customFormat="false" ht="15" hidden="false" customHeight="false" outlineLevel="0" collapsed="false">
      <c r="B49" s="34"/>
      <c r="C49" s="13"/>
      <c r="D49" s="15"/>
    </row>
    <row r="50" customFormat="false" ht="15" hidden="false" customHeight="false" outlineLevel="0" collapsed="false">
      <c r="B50" s="34"/>
      <c r="C50" s="13"/>
      <c r="D50" s="15"/>
    </row>
    <row r="51" customFormat="false" ht="15" hidden="false" customHeight="false" outlineLevel="0" collapsed="false">
      <c r="B51" s="34"/>
      <c r="C51" s="13"/>
      <c r="D51" s="15"/>
    </row>
    <row r="52" customFormat="false" ht="15" hidden="false" customHeight="false" outlineLevel="0" collapsed="false">
      <c r="B52" s="34"/>
      <c r="C52" s="13"/>
      <c r="D52" s="15"/>
    </row>
    <row r="53" customFormat="false" ht="15" hidden="false" customHeight="false" outlineLevel="0" collapsed="false">
      <c r="B53" s="34"/>
      <c r="C53" s="13"/>
      <c r="D53" s="15"/>
    </row>
    <row r="54" customFormat="false" ht="15" hidden="false" customHeight="false" outlineLevel="0" collapsed="false">
      <c r="B54" s="34"/>
      <c r="C54" s="13"/>
      <c r="D54" s="15"/>
    </row>
    <row r="55" customFormat="false" ht="15" hidden="false" customHeight="false" outlineLevel="0" collapsed="false">
      <c r="B55" s="34"/>
      <c r="C55" s="13"/>
      <c r="D55" s="15"/>
    </row>
    <row r="56" customFormat="false" ht="15" hidden="false" customHeight="false" outlineLevel="0" collapsed="false">
      <c r="B56" s="34"/>
      <c r="C56" s="13"/>
      <c r="D56" s="15"/>
    </row>
    <row r="57" customFormat="false" ht="15" hidden="false" customHeight="false" outlineLevel="0" collapsed="false">
      <c r="B57" s="34"/>
      <c r="C57" s="13"/>
      <c r="D57" s="15"/>
    </row>
    <row r="59" customFormat="false" ht="15" hidden="false" customHeight="false" outlineLevel="0" collapsed="false">
      <c r="B59" s="17" t="s">
        <v>113</v>
      </c>
    </row>
  </sheetData>
  <dataValidations count="1">
    <dataValidation allowBlank="true" error="Use a day from 1 to 28. For end-of-month bills, use 28." errorStyle="stop" errorTitle="Day of the month" operator="between" showDropDown="false" showErrorMessage="false" showInputMessage="false" sqref="D20:D34" type="whole">
      <formula1>1</formula1>
      <formula2>28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3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6"/>
    <col collapsed="false" customWidth="true" hidden="true" outlineLevel="0" max="9" min="8" style="0" width="10"/>
    <col collapsed="false" customWidth="true" hidden="false" outlineLevel="0" max="10" min="10" style="0" width="36"/>
  </cols>
  <sheetData>
    <row r="1" customFormat="false" ht="25.5" hidden="false" customHeight="true" outlineLevel="0" collapsed="false">
      <c r="B1" s="9" t="s">
        <v>114</v>
      </c>
    </row>
    <row r="2" customFormat="false" ht="15" hidden="false" customHeight="false" outlineLevel="0" collapsed="false">
      <c r="B2" s="10" t="s">
        <v>115</v>
      </c>
    </row>
    <row r="4" customFormat="false" ht="43.5" hidden="false" customHeight="true" outlineLevel="0" collapsed="false">
      <c r="B4" s="33" t="s">
        <v>95</v>
      </c>
      <c r="C4" s="33" t="s">
        <v>67</v>
      </c>
      <c r="D4" s="33" t="s">
        <v>116</v>
      </c>
      <c r="E4" s="33" t="s">
        <v>117</v>
      </c>
      <c r="F4" s="33" t="s">
        <v>118</v>
      </c>
      <c r="G4" s="33" t="s">
        <v>119</v>
      </c>
      <c r="H4" s="33" t="s">
        <v>120</v>
      </c>
      <c r="I4" s="33" t="s">
        <v>121</v>
      </c>
      <c r="J4" s="33" t="s">
        <v>122</v>
      </c>
    </row>
    <row r="5" customFormat="false" ht="15" hidden="false" customHeight="false" outlineLevel="0" collapsed="false">
      <c r="B5" s="34" t="s">
        <v>123</v>
      </c>
      <c r="C5" s="13" t="n">
        <v>9000</v>
      </c>
      <c r="D5" s="15" t="n">
        <f aca="false">Forecast!$C$6+44</f>
        <v>46330</v>
      </c>
      <c r="E5" s="35" t="n">
        <v>3</v>
      </c>
      <c r="F5" s="13" t="n">
        <v>3000</v>
      </c>
      <c r="G5" s="16" t="n">
        <f aca="false">IF(OR(C5="",D5=""),"",IF(D5&gt;Forecast!$C$6,(C5-F5)/H5,C5/I5))</f>
        <v>857.142857142857</v>
      </c>
      <c r="H5" s="12" t="n">
        <f aca="false">IF(OR(C5="",D5=""),1,MAX(1,ROUNDUP((D5-Forecast!$C$6)/7,0)))</f>
        <v>7</v>
      </c>
      <c r="I5" s="12" t="n">
        <f aca="false">IF(OR(E5="",E5=0),1,E5*52/12)</f>
        <v>13</v>
      </c>
      <c r="J5" s="40" t="str">
        <f aca="false">IF(AND(D5&lt;&gt;"",D5&lt;=Forecast!$C$6),"Due date has passed - enter the next one","")</f>
        <v/>
      </c>
    </row>
    <row r="6" customFormat="false" ht="15" hidden="false" customHeight="false" outlineLevel="0" collapsed="false">
      <c r="B6" s="34" t="s">
        <v>124</v>
      </c>
      <c r="C6" s="13" t="n">
        <v>6500</v>
      </c>
      <c r="D6" s="15" t="n">
        <f aca="false">Forecast!$C$6+130</f>
        <v>46416</v>
      </c>
      <c r="E6" s="35" t="n">
        <v>12</v>
      </c>
      <c r="F6" s="13" t="n">
        <v>2500</v>
      </c>
      <c r="G6" s="16" t="n">
        <f aca="false">IF(OR(C6="",D6=""),"",IF(D6&gt;Forecast!$C$6,(C6-F6)/H6,C6/I6))</f>
        <v>210.526315789474</v>
      </c>
      <c r="H6" s="12" t="n">
        <f aca="false">IF(OR(C6="",D6=""),1,MAX(1,ROUNDUP((D6-Forecast!$C$6)/7,0)))</f>
        <v>19</v>
      </c>
      <c r="I6" s="12" t="n">
        <f aca="false">IF(OR(E6="",E6=0),1,E6*52/12)</f>
        <v>52</v>
      </c>
      <c r="J6" s="40" t="str">
        <f aca="false">IF(AND(D6&lt;&gt;"",D6&lt;=Forecast!$C$6),"Due date has passed - enter the next one","")</f>
        <v/>
      </c>
    </row>
    <row r="7" customFormat="false" ht="15" hidden="false" customHeight="false" outlineLevel="0" collapsed="false">
      <c r="B7" s="34" t="s">
        <v>125</v>
      </c>
      <c r="C7" s="13" t="n">
        <v>2400</v>
      </c>
      <c r="D7" s="15" t="n">
        <f aca="false">Forecast!$C$6+95</f>
        <v>46381</v>
      </c>
      <c r="E7" s="35" t="n">
        <v>6</v>
      </c>
      <c r="F7" s="13" t="n">
        <v>600</v>
      </c>
      <c r="G7" s="16" t="n">
        <f aca="false">IF(OR(C7="",D7=""),"",IF(D7&gt;Forecast!$C$6,(C7-F7)/H7,C7/I7))</f>
        <v>128.571428571429</v>
      </c>
      <c r="H7" s="12" t="n">
        <f aca="false">IF(OR(C7="",D7=""),1,MAX(1,ROUNDUP((D7-Forecast!$C$6)/7,0)))</f>
        <v>14</v>
      </c>
      <c r="I7" s="12" t="n">
        <f aca="false">IF(OR(E7="",E7=0),1,E7*52/12)</f>
        <v>26</v>
      </c>
      <c r="J7" s="40" t="str">
        <f aca="false">IF(AND(D7&lt;&gt;"",D7&lt;=Forecast!$C$6),"Due date has passed - enter the next one","")</f>
        <v/>
      </c>
    </row>
    <row r="8" customFormat="false" ht="15" hidden="false" customHeight="false" outlineLevel="0" collapsed="false">
      <c r="B8" s="34"/>
      <c r="C8" s="13"/>
      <c r="D8" s="15"/>
      <c r="E8" s="35"/>
      <c r="F8" s="13"/>
      <c r="G8" s="16" t="str">
        <f aca="false">IF(OR(C8="",D8=""),"",IF(D8&gt;Forecast!$C$6,(C8-F8)/H8,C8/I8))</f>
        <v/>
      </c>
      <c r="H8" s="12" t="n">
        <f aca="false">IF(OR(C8="",D8=""),1,MAX(1,ROUNDUP((D8-Forecast!$C$6)/7,0)))</f>
        <v>1</v>
      </c>
      <c r="I8" s="12" t="n">
        <f aca="false">IF(OR(E8="",E8=0),1,E8*52/12)</f>
        <v>1</v>
      </c>
      <c r="J8" s="40" t="str">
        <f aca="false">IF(AND(D8&lt;&gt;"",D8&lt;=Forecast!$C$6),"Due date has passed - enter the next one","")</f>
        <v/>
      </c>
    </row>
    <row r="9" customFormat="false" ht="15" hidden="false" customHeight="false" outlineLevel="0" collapsed="false">
      <c r="B9" s="34"/>
      <c r="C9" s="13"/>
      <c r="D9" s="15"/>
      <c r="E9" s="35"/>
      <c r="F9" s="13"/>
      <c r="G9" s="16" t="str">
        <f aca="false">IF(OR(C9="",D9=""),"",IF(D9&gt;Forecast!$C$6,(C9-F9)/H9,C9/I9))</f>
        <v/>
      </c>
      <c r="H9" s="12" t="n">
        <f aca="false">IF(OR(C9="",D9=""),1,MAX(1,ROUNDUP((D9-Forecast!$C$6)/7,0)))</f>
        <v>1</v>
      </c>
      <c r="I9" s="12" t="n">
        <f aca="false">IF(OR(E9="",E9=0),1,E9*52/12)</f>
        <v>1</v>
      </c>
      <c r="J9" s="40" t="str">
        <f aca="false">IF(AND(D9&lt;&gt;"",D9&lt;=Forecast!$C$6),"Due date has passed - enter the next one","")</f>
        <v/>
      </c>
    </row>
    <row r="10" customFormat="false" ht="15" hidden="false" customHeight="false" outlineLevel="0" collapsed="false">
      <c r="B10" s="34"/>
      <c r="C10" s="13"/>
      <c r="D10" s="15"/>
      <c r="E10" s="35"/>
      <c r="F10" s="13"/>
      <c r="G10" s="16" t="str">
        <f aca="false">IF(OR(C10="",D10=""),"",IF(D10&gt;Forecast!$C$6,(C10-F10)/H10,C10/I10))</f>
        <v/>
      </c>
      <c r="H10" s="12" t="n">
        <f aca="false">IF(OR(C10="",D10=""),1,MAX(1,ROUNDUP((D10-Forecast!$C$6)/7,0)))</f>
        <v>1</v>
      </c>
      <c r="I10" s="12" t="n">
        <f aca="false">IF(OR(E10="",E10=0),1,E10*52/12)</f>
        <v>1</v>
      </c>
      <c r="J10" s="40" t="str">
        <f aca="false">IF(AND(D10&lt;&gt;"",D10&lt;=Forecast!$C$6),"Due date has passed - enter the next one","")</f>
        <v/>
      </c>
    </row>
    <row r="11" customFormat="false" ht="15" hidden="false" customHeight="false" outlineLevel="0" collapsed="false">
      <c r="B11" s="34"/>
      <c r="C11" s="13"/>
      <c r="D11" s="15"/>
      <c r="E11" s="35"/>
      <c r="F11" s="13"/>
      <c r="G11" s="16" t="str">
        <f aca="false">IF(OR(C11="",D11=""),"",IF(D11&gt;Forecast!$C$6,(C11-F11)/H11,C11/I11))</f>
        <v/>
      </c>
      <c r="H11" s="12" t="n">
        <f aca="false">IF(OR(C11="",D11=""),1,MAX(1,ROUNDUP((D11-Forecast!$C$6)/7,0)))</f>
        <v>1</v>
      </c>
      <c r="I11" s="12" t="n">
        <f aca="false">IF(OR(E11="",E11=0),1,E11*52/12)</f>
        <v>1</v>
      </c>
      <c r="J11" s="40" t="str">
        <f aca="false">IF(AND(D11&lt;&gt;"",D11&lt;=Forecast!$C$6),"Due date has passed - enter the next one","")</f>
        <v/>
      </c>
    </row>
    <row r="12" customFormat="false" ht="15" hidden="false" customHeight="false" outlineLevel="0" collapsed="false">
      <c r="B12" s="34"/>
      <c r="C12" s="13"/>
      <c r="D12" s="15"/>
      <c r="E12" s="35"/>
      <c r="F12" s="13"/>
      <c r="G12" s="16" t="str">
        <f aca="false">IF(OR(C12="",D12=""),"",IF(D12&gt;Forecast!$C$6,(C12-F12)/H12,C12/I12))</f>
        <v/>
      </c>
      <c r="H12" s="12" t="n">
        <f aca="false">IF(OR(C12="",D12=""),1,MAX(1,ROUNDUP((D12-Forecast!$C$6)/7,0)))</f>
        <v>1</v>
      </c>
      <c r="I12" s="12" t="n">
        <f aca="false">IF(OR(E12="",E12=0),1,E12*52/12)</f>
        <v>1</v>
      </c>
      <c r="J12" s="40" t="str">
        <f aca="false">IF(AND(D12&lt;&gt;"",D12&lt;=Forecast!$C$6),"Due date has passed - enter the next one","")</f>
        <v/>
      </c>
    </row>
    <row r="13" customFormat="false" ht="15" hidden="false" customHeight="false" outlineLevel="0" collapsed="false">
      <c r="B13" s="34"/>
      <c r="C13" s="13"/>
      <c r="D13" s="15"/>
      <c r="E13" s="35"/>
      <c r="F13" s="13"/>
      <c r="G13" s="16" t="str">
        <f aca="false">IF(OR(C13="",D13=""),"",IF(D13&gt;Forecast!$C$6,(C13-F13)/H13,C13/I13))</f>
        <v/>
      </c>
      <c r="H13" s="12" t="n">
        <f aca="false">IF(OR(C13="",D13=""),1,MAX(1,ROUNDUP((D13-Forecast!$C$6)/7,0)))</f>
        <v>1</v>
      </c>
      <c r="I13" s="12" t="n">
        <f aca="false">IF(OR(E13="",E13=0),1,E13*52/12)</f>
        <v>1</v>
      </c>
      <c r="J13" s="40" t="str">
        <f aca="false">IF(AND(D13&lt;&gt;"",D13&lt;=Forecast!$C$6),"Due date has passed - enter the next one","")</f>
        <v/>
      </c>
    </row>
    <row r="14" customFormat="false" ht="15" hidden="false" customHeight="false" outlineLevel="0" collapsed="false">
      <c r="B14" s="34"/>
      <c r="C14" s="13"/>
      <c r="D14" s="15"/>
      <c r="E14" s="35"/>
      <c r="F14" s="13"/>
      <c r="G14" s="16" t="str">
        <f aca="false">IF(OR(C14="",D14=""),"",IF(D14&gt;Forecast!$C$6,(C14-F14)/H14,C14/I14))</f>
        <v/>
      </c>
      <c r="H14" s="12" t="n">
        <f aca="false">IF(OR(C14="",D14=""),1,MAX(1,ROUNDUP((D14-Forecast!$C$6)/7,0)))</f>
        <v>1</v>
      </c>
      <c r="I14" s="12" t="n">
        <f aca="false">IF(OR(E14="",E14=0),1,E14*52/12)</f>
        <v>1</v>
      </c>
      <c r="J14" s="40" t="str">
        <f aca="false">IF(AND(D14&lt;&gt;"",D14&lt;=Forecast!$C$6),"Due date has passed - enter the next one","")</f>
        <v/>
      </c>
    </row>
    <row r="15" customFormat="false" ht="15" hidden="false" customHeight="false" outlineLevel="0" collapsed="false">
      <c r="B15" s="34"/>
      <c r="C15" s="13"/>
      <c r="D15" s="15"/>
      <c r="E15" s="35"/>
      <c r="F15" s="13"/>
      <c r="G15" s="16" t="str">
        <f aca="false">IF(OR(C15="",D15=""),"",IF(D15&gt;Forecast!$C$6,(C15-F15)/H15,C15/I15))</f>
        <v/>
      </c>
      <c r="H15" s="12" t="n">
        <f aca="false">IF(OR(C15="",D15=""),1,MAX(1,ROUNDUP((D15-Forecast!$C$6)/7,0)))</f>
        <v>1</v>
      </c>
      <c r="I15" s="12" t="n">
        <f aca="false">IF(OR(E15="",E15=0),1,E15*52/12)</f>
        <v>1</v>
      </c>
      <c r="J15" s="40" t="str">
        <f aca="false">IF(AND(D15&lt;&gt;"",D15&lt;=Forecast!$C$6),"Due date has passed - enter the next one","")</f>
        <v/>
      </c>
    </row>
    <row r="16" customFormat="false" ht="15" hidden="false" customHeight="false" outlineLevel="0" collapsed="false">
      <c r="B16" s="34"/>
      <c r="C16" s="13"/>
      <c r="D16" s="15"/>
      <c r="E16" s="35"/>
      <c r="F16" s="13"/>
      <c r="G16" s="16" t="str">
        <f aca="false">IF(OR(C16="",D16=""),"",IF(D16&gt;Forecast!$C$6,(C16-F16)/H16,C16/I16))</f>
        <v/>
      </c>
      <c r="H16" s="12" t="n">
        <f aca="false">IF(OR(C16="",D16=""),1,MAX(1,ROUNDUP((D16-Forecast!$C$6)/7,0)))</f>
        <v>1</v>
      </c>
      <c r="I16" s="12" t="n">
        <f aca="false">IF(OR(E16="",E16=0),1,E16*52/12)</f>
        <v>1</v>
      </c>
      <c r="J16" s="40" t="str">
        <f aca="false">IF(AND(D16&lt;&gt;"",D16&lt;=Forecast!$C$6),"Due date has passed - enter the next one","")</f>
        <v/>
      </c>
    </row>
    <row r="17" customFormat="false" ht="15" hidden="false" customHeight="false" outlineLevel="0" collapsed="false">
      <c r="B17" s="34"/>
      <c r="C17" s="13"/>
      <c r="D17" s="15"/>
      <c r="E17" s="35"/>
      <c r="F17" s="13"/>
      <c r="G17" s="16" t="str">
        <f aca="false">IF(OR(C17="",D17=""),"",IF(D17&gt;Forecast!$C$6,(C17-F17)/H17,C17/I17))</f>
        <v/>
      </c>
      <c r="H17" s="12" t="n">
        <f aca="false">IF(OR(C17="",D17=""),1,MAX(1,ROUNDUP((D17-Forecast!$C$6)/7,0)))</f>
        <v>1</v>
      </c>
      <c r="I17" s="12" t="n">
        <f aca="false">IF(OR(E17="",E17=0),1,E17*52/12)</f>
        <v>1</v>
      </c>
      <c r="J17" s="40" t="str">
        <f aca="false">IF(AND(D17&lt;&gt;"",D17&lt;=Forecast!$C$6),"Due date has passed - enter the next one","")</f>
        <v/>
      </c>
    </row>
    <row r="18" customFormat="false" ht="15" hidden="false" customHeight="false" outlineLevel="0" collapsed="false">
      <c r="B18" s="34"/>
      <c r="C18" s="13"/>
      <c r="D18" s="15"/>
      <c r="E18" s="35"/>
      <c r="F18" s="13"/>
      <c r="G18" s="16" t="str">
        <f aca="false">IF(OR(C18="",D18=""),"",IF(D18&gt;Forecast!$C$6,(C18-F18)/H18,C18/I18))</f>
        <v/>
      </c>
      <c r="H18" s="12" t="n">
        <f aca="false">IF(OR(C18="",D18=""),1,MAX(1,ROUNDUP((D18-Forecast!$C$6)/7,0)))</f>
        <v>1</v>
      </c>
      <c r="I18" s="12" t="n">
        <f aca="false">IF(OR(E18="",E18=0),1,E18*52/12)</f>
        <v>1</v>
      </c>
      <c r="J18" s="40" t="str">
        <f aca="false">IF(AND(D18&lt;&gt;"",D18&lt;=Forecast!$C$6),"Due date has passed - enter the next one","")</f>
        <v/>
      </c>
    </row>
    <row r="19" customFormat="false" ht="15" hidden="false" customHeight="false" outlineLevel="0" collapsed="false">
      <c r="B19" s="34"/>
      <c r="C19" s="13"/>
      <c r="D19" s="15"/>
      <c r="E19" s="35"/>
      <c r="F19" s="13"/>
      <c r="G19" s="16" t="str">
        <f aca="false">IF(OR(C19="",D19=""),"",IF(D19&gt;Forecast!$C$6,(C19-F19)/H19,C19/I19))</f>
        <v/>
      </c>
      <c r="H19" s="12" t="n">
        <f aca="false">IF(OR(C19="",D19=""),1,MAX(1,ROUNDUP((D19-Forecast!$C$6)/7,0)))</f>
        <v>1</v>
      </c>
      <c r="I19" s="12" t="n">
        <f aca="false">IF(OR(E19="",E19=0),1,E19*52/12)</f>
        <v>1</v>
      </c>
      <c r="J19" s="40" t="str">
        <f aca="false">IF(AND(D19&lt;&gt;"",D19&lt;=Forecast!$C$6),"Due date has passed - enter the next one","")</f>
        <v/>
      </c>
    </row>
    <row r="21" customFormat="false" ht="39.75" hidden="false" customHeight="true" outlineLevel="0" collapsed="false">
      <c r="B21" s="41" t="s">
        <v>126</v>
      </c>
      <c r="C21" s="41"/>
      <c r="D21" s="41"/>
      <c r="E21" s="41"/>
      <c r="F21" s="41"/>
      <c r="G21" s="41"/>
      <c r="H21" s="41"/>
      <c r="I21" s="41"/>
      <c r="J21" s="41"/>
    </row>
  </sheetData>
  <mergeCells count="1">
    <mergeCell ref="B21:J21"/>
  </mergeCells>
  <dataValidations count="1">
    <dataValidation allowBlank="true" errorStyle="stop" operator="between" showDropDown="false" showErrorMessage="false" showInputMessage="false" sqref="E5:E19" type="list">
      <formula1>"3,6,12"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2026-09-22T04:26:23Z</dcterms:created>
  <dc:creator>Runway</dc:creator>
  <dc:description/>
  <dc:language>en-US</dc:language>
  <cp:lastModifiedBy/>
  <dcterms:modified xsi:type="dcterms:W3CDTF">2026-09-22T04:26:25Z</dcterms:modified>
  <cp:revision>1</cp:revision>
  <dc:subject/>
  <dc:title>12-Week Cash Flow Forecast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